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81029"/>
</workbook>
</file>

<file path=xl/calcChain.xml><?xml version="1.0" encoding="utf-8"?>
<calcChain xmlns="http://schemas.openxmlformats.org/spreadsheetml/2006/main">
  <c r="R613" i="2" l="1"/>
  <c r="N451" i="2"/>
  <c r="O451" i="2"/>
  <c r="P451" i="2"/>
  <c r="Q451" i="2"/>
  <c r="R451" i="2"/>
  <c r="O450" i="2"/>
  <c r="P450" i="2"/>
  <c r="N450" i="2"/>
  <c r="O449" i="2"/>
  <c r="P449" i="2"/>
  <c r="N449" i="2"/>
  <c r="O448" i="2"/>
  <c r="P448" i="2"/>
  <c r="Q448" i="2"/>
  <c r="R448" i="2"/>
  <c r="N448" i="2"/>
  <c r="N447" i="2"/>
  <c r="O447" i="2"/>
  <c r="P447" i="2"/>
  <c r="Q447" i="2"/>
  <c r="R447" i="2"/>
  <c r="O439" i="2"/>
  <c r="P439" i="2"/>
  <c r="N439" i="2"/>
  <c r="P438" i="2"/>
  <c r="Q438" i="2"/>
  <c r="R438" i="2"/>
  <c r="O438" i="2"/>
  <c r="N438" i="2"/>
  <c r="O437" i="2"/>
  <c r="P437" i="2"/>
  <c r="N437" i="2"/>
  <c r="O436" i="2"/>
  <c r="P436" i="2"/>
  <c r="Q436" i="2"/>
  <c r="R436" i="2"/>
  <c r="N436" i="2"/>
  <c r="O435" i="2"/>
  <c r="P435" i="2"/>
  <c r="N435" i="2"/>
  <c r="O434" i="2"/>
  <c r="P434" i="2"/>
  <c r="N434" i="2"/>
  <c r="O433" i="2"/>
  <c r="P433" i="2"/>
  <c r="N433" i="2"/>
  <c r="P432" i="2"/>
  <c r="O432" i="2"/>
  <c r="N432" i="2"/>
  <c r="O431" i="2"/>
  <c r="P431" i="2"/>
  <c r="N431" i="2"/>
  <c r="N430" i="2"/>
  <c r="O430" i="2"/>
  <c r="P430" i="2"/>
  <c r="Q430" i="2"/>
  <c r="R430" i="2"/>
  <c r="O422" i="2"/>
  <c r="P422" i="2"/>
  <c r="N422" i="2"/>
  <c r="O421" i="2"/>
  <c r="P421" i="2"/>
  <c r="Q421" i="2"/>
  <c r="R421" i="2"/>
  <c r="N421" i="2"/>
  <c r="O420" i="2"/>
  <c r="P420" i="2"/>
  <c r="N420" i="2"/>
  <c r="O419" i="2"/>
  <c r="P419" i="2"/>
  <c r="N419" i="2"/>
  <c r="O418" i="2"/>
  <c r="P418" i="2"/>
  <c r="Q418" i="2"/>
  <c r="R418" i="2"/>
  <c r="N418" i="2"/>
  <c r="O417" i="2"/>
  <c r="P417" i="2"/>
  <c r="Q417" i="2"/>
  <c r="R417" i="2"/>
  <c r="N417" i="2"/>
  <c r="R416" i="2"/>
  <c r="O416" i="2"/>
  <c r="P416" i="2"/>
  <c r="Q416" i="2"/>
  <c r="N416" i="2"/>
  <c r="O415" i="2"/>
  <c r="P415" i="2"/>
  <c r="N415" i="2"/>
  <c r="O414" i="2"/>
  <c r="P414" i="2"/>
  <c r="N414" i="2"/>
  <c r="N413" i="2"/>
  <c r="O413" i="2"/>
  <c r="P413" i="2"/>
  <c r="Q413" i="2"/>
  <c r="R413" i="2"/>
  <c r="O405" i="2"/>
  <c r="P405" i="2"/>
  <c r="Q405" i="2"/>
  <c r="R405" i="2"/>
  <c r="N405" i="2"/>
  <c r="P404" i="2"/>
  <c r="O404" i="2"/>
  <c r="N404" i="2"/>
  <c r="O403" i="2"/>
  <c r="P403" i="2"/>
  <c r="N403" i="2"/>
  <c r="O402" i="2"/>
  <c r="P402" i="2"/>
  <c r="N402" i="2"/>
  <c r="O401" i="2"/>
  <c r="P401" i="2"/>
  <c r="Q401" i="2"/>
  <c r="R401" i="2"/>
  <c r="N401" i="2"/>
  <c r="O400" i="2"/>
  <c r="P400" i="2"/>
  <c r="N400" i="2"/>
  <c r="N399" i="2"/>
  <c r="O399" i="2"/>
  <c r="P399" i="2"/>
  <c r="Q399" i="2"/>
  <c r="R399" i="2"/>
  <c r="P398" i="2"/>
  <c r="Q398" i="2"/>
  <c r="R398" i="2"/>
  <c r="N398" i="2"/>
  <c r="O398" i="2"/>
  <c r="N397" i="2"/>
  <c r="O397" i="2"/>
  <c r="P397" i="2"/>
  <c r="Q397" i="2"/>
  <c r="R397" i="2"/>
  <c r="N396" i="2"/>
  <c r="O396" i="2"/>
  <c r="P396" i="2"/>
  <c r="Q396" i="2"/>
  <c r="R396" i="2"/>
  <c r="O388" i="2"/>
  <c r="P388" i="2"/>
  <c r="N388" i="2"/>
  <c r="Q387" i="2"/>
  <c r="R387" i="2"/>
  <c r="O387" i="2"/>
  <c r="P387" i="2"/>
  <c r="N387" i="2"/>
  <c r="O386" i="2"/>
  <c r="P386" i="2"/>
  <c r="N386" i="2"/>
  <c r="O385" i="2"/>
  <c r="P385" i="2"/>
  <c r="N385" i="2"/>
  <c r="O384" i="2"/>
  <c r="P384" i="2"/>
  <c r="N384" i="2"/>
  <c r="O383" i="2"/>
  <c r="P383" i="2"/>
  <c r="N383" i="2"/>
  <c r="O382" i="2"/>
  <c r="P382" i="2"/>
  <c r="Q382" i="2"/>
  <c r="R382" i="2"/>
  <c r="N382" i="2"/>
  <c r="O381" i="2"/>
  <c r="P381" i="2"/>
  <c r="Q381" i="2"/>
  <c r="R381" i="2"/>
  <c r="N381" i="2"/>
  <c r="O380" i="2"/>
  <c r="P380" i="2"/>
  <c r="N380" i="2"/>
  <c r="O379" i="2"/>
  <c r="P379" i="2"/>
  <c r="Q379" i="2"/>
  <c r="R379" i="2"/>
  <c r="N379" i="2"/>
  <c r="O371" i="2"/>
  <c r="P371" i="2"/>
  <c r="N371" i="2"/>
  <c r="P370" i="2"/>
  <c r="O370" i="2"/>
  <c r="N370" i="2"/>
  <c r="O369" i="2"/>
  <c r="P369" i="2"/>
  <c r="Q369" i="2"/>
  <c r="R369" i="2"/>
  <c r="N369" i="2"/>
  <c r="O368" i="2"/>
  <c r="P368" i="2"/>
  <c r="Q368" i="2"/>
  <c r="R368" i="2"/>
  <c r="N368" i="2"/>
  <c r="O367" i="2"/>
  <c r="P367" i="2"/>
  <c r="N367" i="2"/>
  <c r="O366" i="2"/>
  <c r="P366" i="2"/>
  <c r="N366" i="2"/>
  <c r="N365" i="2"/>
  <c r="O365" i="2"/>
  <c r="P365" i="2"/>
  <c r="Q365" i="2"/>
  <c r="R365" i="2"/>
  <c r="O364" i="2"/>
  <c r="P364" i="2"/>
  <c r="N364" i="2"/>
  <c r="O363" i="2"/>
  <c r="P363" i="2"/>
  <c r="Q363" i="2"/>
  <c r="R363" i="2"/>
  <c r="N363" i="2"/>
  <c r="N362" i="2"/>
  <c r="O362" i="2"/>
  <c r="P362" i="2"/>
  <c r="Q362" i="2"/>
  <c r="R362" i="2"/>
  <c r="P354" i="2"/>
  <c r="Q354" i="2"/>
  <c r="R354" i="2"/>
  <c r="O354" i="2"/>
  <c r="N354" i="2"/>
  <c r="O353" i="2"/>
  <c r="P353" i="2"/>
  <c r="N353" i="2"/>
  <c r="O352" i="2"/>
  <c r="P352" i="2"/>
  <c r="N352" i="2"/>
  <c r="O351" i="2"/>
  <c r="P351" i="2"/>
  <c r="N351" i="2"/>
  <c r="O350" i="2"/>
  <c r="P350" i="2"/>
  <c r="N350" i="2"/>
  <c r="O349" i="2"/>
  <c r="P349" i="2"/>
  <c r="Q349" i="2"/>
  <c r="R349" i="2"/>
  <c r="N349" i="2"/>
  <c r="P348" i="2"/>
  <c r="O348" i="2"/>
  <c r="N348" i="2"/>
  <c r="O347" i="2"/>
  <c r="P347" i="2"/>
  <c r="N347" i="2"/>
  <c r="O346" i="2"/>
  <c r="P346" i="2"/>
  <c r="N346" i="2"/>
  <c r="N345" i="2"/>
  <c r="O345" i="2"/>
  <c r="P345" i="2"/>
  <c r="Q345" i="2"/>
  <c r="R345" i="2"/>
  <c r="O337" i="2"/>
  <c r="P337" i="2"/>
  <c r="Q337" i="2"/>
  <c r="R337" i="2"/>
  <c r="N337" i="2"/>
  <c r="O336" i="2"/>
  <c r="P336" i="2"/>
  <c r="Q336" i="2"/>
  <c r="R336" i="2"/>
  <c r="N336" i="2"/>
  <c r="O335" i="2"/>
  <c r="P335" i="2"/>
  <c r="N335" i="2"/>
  <c r="Q335" i="2"/>
  <c r="R335" i="2"/>
  <c r="O334" i="2"/>
  <c r="P334" i="2"/>
  <c r="N334" i="2"/>
  <c r="O333" i="2"/>
  <c r="P333" i="2"/>
  <c r="N333" i="2"/>
  <c r="O332" i="2"/>
  <c r="P332" i="2"/>
  <c r="Q332" i="2"/>
  <c r="R332" i="2"/>
  <c r="N332" i="2"/>
  <c r="O331" i="2"/>
  <c r="P331" i="2"/>
  <c r="N331" i="2"/>
  <c r="O330" i="2"/>
  <c r="P330" i="2"/>
  <c r="Q330" i="2"/>
  <c r="R330" i="2"/>
  <c r="N330" i="2"/>
  <c r="O329" i="2"/>
  <c r="P329" i="2"/>
  <c r="Q329" i="2"/>
  <c r="R329" i="2"/>
  <c r="N329" i="2"/>
  <c r="N328" i="2"/>
  <c r="O328" i="2"/>
  <c r="P328" i="2"/>
  <c r="Q328" i="2"/>
  <c r="R328" i="2"/>
  <c r="O320" i="2"/>
  <c r="P320" i="2"/>
  <c r="N320" i="2"/>
  <c r="O319" i="2"/>
  <c r="P319" i="2"/>
  <c r="Q319" i="2"/>
  <c r="R319" i="2"/>
  <c r="N319" i="2"/>
  <c r="O318" i="2"/>
  <c r="P318" i="2"/>
  <c r="N318" i="2"/>
  <c r="O317" i="2"/>
  <c r="P317" i="2"/>
  <c r="N317" i="2"/>
  <c r="O316" i="2"/>
  <c r="P316" i="2"/>
  <c r="N316" i="2"/>
  <c r="O315" i="2"/>
  <c r="P315" i="2"/>
  <c r="N315" i="2"/>
  <c r="O314" i="2"/>
  <c r="P314" i="2"/>
  <c r="Q314" i="2"/>
  <c r="R314" i="2"/>
  <c r="N314" i="2"/>
  <c r="N313" i="2"/>
  <c r="O313" i="2"/>
  <c r="P313" i="2"/>
  <c r="Q313" i="2"/>
  <c r="R313" i="2"/>
  <c r="O312" i="2"/>
  <c r="P312" i="2"/>
  <c r="N312" i="2"/>
  <c r="O311" i="2"/>
  <c r="P311" i="2"/>
  <c r="N311" i="2"/>
  <c r="O303" i="2"/>
  <c r="P303" i="2"/>
  <c r="N303" i="2"/>
  <c r="O302" i="2"/>
  <c r="P302" i="2"/>
  <c r="N302" i="2"/>
  <c r="O301" i="2"/>
  <c r="P301" i="2"/>
  <c r="N301" i="2"/>
  <c r="O300" i="2"/>
  <c r="P300" i="2"/>
  <c r="N300" i="2"/>
  <c r="O299" i="2"/>
  <c r="P299" i="2"/>
  <c r="N299" i="2"/>
  <c r="O298" i="2"/>
  <c r="P298" i="2"/>
  <c r="N298" i="2"/>
  <c r="O297" i="2"/>
  <c r="P297" i="2"/>
  <c r="N297" i="2"/>
  <c r="O296" i="2"/>
  <c r="P296" i="2"/>
  <c r="N296" i="2"/>
  <c r="O295" i="2"/>
  <c r="P295" i="2"/>
  <c r="N295" i="2"/>
  <c r="N294" i="2"/>
  <c r="O294" i="2"/>
  <c r="P294" i="2"/>
  <c r="Q294" i="2"/>
  <c r="R294" i="2"/>
  <c r="O286" i="2"/>
  <c r="P286" i="2"/>
  <c r="N286" i="2"/>
  <c r="O285" i="2"/>
  <c r="P285" i="2"/>
  <c r="N285" i="2"/>
  <c r="O284" i="2"/>
  <c r="P284" i="2"/>
  <c r="N284" i="2"/>
  <c r="O283" i="2"/>
  <c r="P283" i="2"/>
  <c r="N283" i="2"/>
  <c r="O282" i="2"/>
  <c r="P282" i="2"/>
  <c r="N282" i="2"/>
  <c r="O281" i="2"/>
  <c r="P281" i="2"/>
  <c r="N281" i="2"/>
  <c r="O280" i="2"/>
  <c r="P280" i="2"/>
  <c r="N280" i="2"/>
  <c r="O279" i="2"/>
  <c r="P279" i="2"/>
  <c r="N279" i="2"/>
  <c r="O278" i="2"/>
  <c r="P278" i="2"/>
  <c r="N278" i="2"/>
  <c r="N277" i="2"/>
  <c r="O277" i="2"/>
  <c r="P277" i="2"/>
  <c r="Q277" i="2"/>
  <c r="R277" i="2"/>
  <c r="O270" i="2"/>
  <c r="P270" i="2"/>
  <c r="N270" i="2"/>
  <c r="O269" i="2"/>
  <c r="P269" i="2"/>
  <c r="Q269" i="2"/>
  <c r="R269" i="2"/>
  <c r="N269" i="2"/>
  <c r="O268" i="2"/>
  <c r="P268" i="2"/>
  <c r="Q268" i="2"/>
  <c r="R268" i="2"/>
  <c r="N268" i="2"/>
  <c r="O267" i="2"/>
  <c r="P267" i="2"/>
  <c r="N267" i="2"/>
  <c r="O266" i="2"/>
  <c r="P266" i="2"/>
  <c r="N266" i="2"/>
  <c r="O265" i="2"/>
  <c r="P265" i="2"/>
  <c r="N265" i="2"/>
  <c r="P264" i="2"/>
  <c r="O264" i="2"/>
  <c r="N264" i="2"/>
  <c r="O263" i="2"/>
  <c r="P263" i="2"/>
  <c r="Q263" i="2"/>
  <c r="R263" i="2"/>
  <c r="N263" i="2"/>
  <c r="O262" i="2"/>
  <c r="P262" i="2"/>
  <c r="N262" i="2"/>
  <c r="O261" i="2"/>
  <c r="P261" i="2"/>
  <c r="Q261" i="2"/>
  <c r="R261" i="2"/>
  <c r="N261" i="2"/>
  <c r="O253" i="2"/>
  <c r="P253" i="2"/>
  <c r="N253" i="2"/>
  <c r="O252" i="2"/>
  <c r="P252" i="2"/>
  <c r="Q252" i="2"/>
  <c r="R252" i="2"/>
  <c r="N252" i="2"/>
  <c r="O251" i="2"/>
  <c r="P251" i="2"/>
  <c r="Q251" i="2"/>
  <c r="R251" i="2"/>
  <c r="N251" i="2"/>
  <c r="P250" i="2"/>
  <c r="O250" i="2"/>
  <c r="N250" i="2"/>
  <c r="O249" i="2"/>
  <c r="P249" i="2"/>
  <c r="N249" i="2"/>
  <c r="O248" i="2"/>
  <c r="P248" i="2"/>
  <c r="N248" i="2"/>
  <c r="O247" i="2"/>
  <c r="P247" i="2"/>
  <c r="Q247" i="2"/>
  <c r="R247" i="2"/>
  <c r="N247" i="2"/>
  <c r="O246" i="2"/>
  <c r="P246" i="2"/>
  <c r="N246" i="2"/>
  <c r="N245" i="2"/>
  <c r="O245" i="2"/>
  <c r="P245" i="2"/>
  <c r="Q245" i="2"/>
  <c r="R245" i="2"/>
  <c r="N244" i="2"/>
  <c r="O244" i="2"/>
  <c r="P244" i="2"/>
  <c r="Q244" i="2"/>
  <c r="R244" i="2"/>
  <c r="O236" i="2"/>
  <c r="P236" i="2"/>
  <c r="Q236" i="2"/>
  <c r="R236" i="2"/>
  <c r="N236" i="2"/>
  <c r="O235" i="2"/>
  <c r="P235" i="2"/>
  <c r="N235" i="2"/>
  <c r="O234" i="2"/>
  <c r="P234" i="2"/>
  <c r="Q234" i="2"/>
  <c r="R234" i="2"/>
  <c r="N234" i="2"/>
  <c r="O233" i="2"/>
  <c r="P233" i="2"/>
  <c r="N233" i="2"/>
  <c r="O232" i="2"/>
  <c r="P232" i="2"/>
  <c r="N232" i="2"/>
  <c r="O231" i="2"/>
  <c r="P231" i="2"/>
  <c r="N231" i="2"/>
  <c r="Q231" i="2"/>
  <c r="R231" i="2"/>
  <c r="P230" i="2"/>
  <c r="Q230" i="2"/>
  <c r="R230" i="2"/>
  <c r="O230" i="2"/>
  <c r="N230" i="2"/>
  <c r="O229" i="2"/>
  <c r="P229" i="2"/>
  <c r="N229" i="2"/>
  <c r="N228" i="2"/>
  <c r="O228" i="2"/>
  <c r="P228" i="2"/>
  <c r="Q228" i="2"/>
  <c r="R228" i="2"/>
  <c r="N227" i="2"/>
  <c r="O227" i="2"/>
  <c r="P227" i="2"/>
  <c r="Q227" i="2"/>
  <c r="R227" i="2"/>
  <c r="O219" i="2"/>
  <c r="P219" i="2"/>
  <c r="Q219" i="2"/>
  <c r="R219" i="2"/>
  <c r="N219" i="2"/>
  <c r="O218" i="2"/>
  <c r="P218" i="2"/>
  <c r="N218" i="2"/>
  <c r="O217" i="2"/>
  <c r="P217" i="2"/>
  <c r="N217" i="2"/>
  <c r="O216" i="2"/>
  <c r="P216" i="2"/>
  <c r="N216" i="2"/>
  <c r="O215" i="2"/>
  <c r="P215" i="2"/>
  <c r="N215" i="2"/>
  <c r="O214" i="2"/>
  <c r="P214" i="2"/>
  <c r="Q214" i="2"/>
  <c r="R214" i="2"/>
  <c r="N214" i="2"/>
  <c r="O213" i="2"/>
  <c r="P213" i="2"/>
  <c r="N213" i="2"/>
  <c r="O212" i="2"/>
  <c r="P212" i="2"/>
  <c r="Q212" i="2"/>
  <c r="R212" i="2"/>
  <c r="N212" i="2"/>
  <c r="O211" i="2"/>
  <c r="P211" i="2"/>
  <c r="Q211" i="2"/>
  <c r="R211" i="2"/>
  <c r="N211" i="2"/>
  <c r="N210" i="2"/>
  <c r="O210" i="2"/>
  <c r="P210" i="2"/>
  <c r="Q210" i="2"/>
  <c r="R210" i="2"/>
  <c r="O202" i="2"/>
  <c r="P202" i="2"/>
  <c r="N202" i="2"/>
  <c r="O201" i="2"/>
  <c r="P201" i="2"/>
  <c r="Q201" i="2"/>
  <c r="R201" i="2"/>
  <c r="N201" i="2"/>
  <c r="O200" i="2"/>
  <c r="P200" i="2"/>
  <c r="N200" i="2"/>
  <c r="O199" i="2"/>
  <c r="P199" i="2"/>
  <c r="N199" i="2"/>
  <c r="O198" i="2"/>
  <c r="P198" i="2"/>
  <c r="N198" i="2"/>
  <c r="O197" i="2"/>
  <c r="P197" i="2"/>
  <c r="N197" i="2"/>
  <c r="O196" i="2"/>
  <c r="P196" i="2"/>
  <c r="N196" i="2"/>
  <c r="O195" i="2"/>
  <c r="P195" i="2"/>
  <c r="N195" i="2"/>
  <c r="O194" i="2"/>
  <c r="P194" i="2"/>
  <c r="N194" i="2"/>
  <c r="N193" i="2"/>
  <c r="O193" i="2"/>
  <c r="P193" i="2"/>
  <c r="Q193" i="2"/>
  <c r="R193" i="2"/>
  <c r="O185" i="2"/>
  <c r="P185" i="2"/>
  <c r="N185" i="2"/>
  <c r="O184" i="2"/>
  <c r="P184" i="2"/>
  <c r="N184" i="2"/>
  <c r="O183" i="2"/>
  <c r="P183" i="2"/>
  <c r="Q183" i="2"/>
  <c r="R183" i="2"/>
  <c r="N183" i="2"/>
  <c r="O182" i="2"/>
  <c r="P182" i="2"/>
  <c r="Q182" i="2"/>
  <c r="R182" i="2"/>
  <c r="N182" i="2"/>
  <c r="O181" i="2"/>
  <c r="P181" i="2"/>
  <c r="Q181" i="2"/>
  <c r="R181" i="2"/>
  <c r="N181" i="2"/>
  <c r="O180" i="2"/>
  <c r="P180" i="2"/>
  <c r="Q180" i="2"/>
  <c r="R180" i="2"/>
  <c r="N180" i="2"/>
  <c r="P179" i="2"/>
  <c r="Q179" i="2"/>
  <c r="R179" i="2"/>
  <c r="O179" i="2"/>
  <c r="N179" i="2"/>
  <c r="O178" i="2"/>
  <c r="P178" i="2"/>
  <c r="Q178" i="2"/>
  <c r="R178" i="2"/>
  <c r="N178" i="2"/>
  <c r="O177" i="2"/>
  <c r="P177" i="2"/>
  <c r="N177" i="2"/>
  <c r="N176" i="2"/>
  <c r="O176" i="2"/>
  <c r="P176" i="2"/>
  <c r="Q176" i="2"/>
  <c r="R176" i="2"/>
  <c r="P168" i="2"/>
  <c r="Q168" i="2"/>
  <c r="R168" i="2"/>
  <c r="O168" i="2"/>
  <c r="N168" i="2"/>
  <c r="O167" i="2"/>
  <c r="P167" i="2"/>
  <c r="N167" i="2"/>
  <c r="O166" i="2"/>
  <c r="P166" i="2"/>
  <c r="Q166" i="2"/>
  <c r="R166" i="2"/>
  <c r="N166" i="2"/>
  <c r="O165" i="2"/>
  <c r="P165" i="2"/>
  <c r="N165" i="2"/>
  <c r="O164" i="2"/>
  <c r="P164" i="2"/>
  <c r="N164" i="2"/>
  <c r="Q163" i="2"/>
  <c r="R163" i="2"/>
  <c r="O163" i="2"/>
  <c r="P163" i="2"/>
  <c r="N163" i="2"/>
  <c r="O162" i="2"/>
  <c r="P162" i="2"/>
  <c r="Q162" i="2"/>
  <c r="R162" i="2"/>
  <c r="N162" i="2"/>
  <c r="O161" i="2"/>
  <c r="P161" i="2"/>
  <c r="N161" i="2"/>
  <c r="O160" i="2"/>
  <c r="P160" i="2"/>
  <c r="N160" i="2"/>
  <c r="N159" i="2"/>
  <c r="O159" i="2"/>
  <c r="P159" i="2"/>
  <c r="Q159" i="2"/>
  <c r="R159" i="2"/>
  <c r="O151" i="2"/>
  <c r="P151" i="2"/>
  <c r="N151" i="2"/>
  <c r="O150" i="2"/>
  <c r="P150" i="2"/>
  <c r="N150" i="2"/>
  <c r="O149" i="2"/>
  <c r="P149" i="2"/>
  <c r="N149" i="2"/>
  <c r="O148" i="2"/>
  <c r="P148" i="2"/>
  <c r="N148" i="2"/>
  <c r="O147" i="2"/>
  <c r="P147" i="2"/>
  <c r="N147" i="2"/>
  <c r="O146" i="2"/>
  <c r="P146" i="2"/>
  <c r="Q146" i="2"/>
  <c r="R146" i="2"/>
  <c r="N146" i="2"/>
  <c r="O145" i="2"/>
  <c r="P145" i="2"/>
  <c r="N145" i="2"/>
  <c r="O144" i="2"/>
  <c r="P144" i="2"/>
  <c r="Q144" i="2"/>
  <c r="R144" i="2"/>
  <c r="N144" i="2"/>
  <c r="O143" i="2"/>
  <c r="P143" i="2"/>
  <c r="N143" i="2"/>
  <c r="P142" i="2"/>
  <c r="Q142" i="2"/>
  <c r="R142" i="2"/>
  <c r="N142" i="2"/>
  <c r="O142" i="2"/>
  <c r="O134" i="2"/>
  <c r="P134" i="2"/>
  <c r="N134" i="2"/>
  <c r="O133" i="2"/>
  <c r="P133" i="2"/>
  <c r="N133" i="2"/>
  <c r="O132" i="2"/>
  <c r="P132" i="2"/>
  <c r="Q132" i="2"/>
  <c r="R132" i="2"/>
  <c r="N132" i="2"/>
  <c r="O131" i="2"/>
  <c r="P131" i="2"/>
  <c r="N131" i="2"/>
  <c r="O130" i="2"/>
  <c r="P130" i="2"/>
  <c r="N130" i="2"/>
  <c r="O129" i="2"/>
  <c r="P129" i="2"/>
  <c r="N129" i="2"/>
  <c r="Q129" i="2"/>
  <c r="R129" i="2"/>
  <c r="O128" i="2"/>
  <c r="P128" i="2"/>
  <c r="N128" i="2"/>
  <c r="O127" i="2"/>
  <c r="P127" i="2"/>
  <c r="N127" i="2"/>
  <c r="O126" i="2"/>
  <c r="P126" i="2"/>
  <c r="N126" i="2"/>
  <c r="N125" i="2"/>
  <c r="O125" i="2"/>
  <c r="P125" i="2"/>
  <c r="Q125" i="2"/>
  <c r="R125" i="2"/>
  <c r="O117" i="2"/>
  <c r="P117" i="2"/>
  <c r="Q117" i="2"/>
  <c r="R117" i="2"/>
  <c r="N117" i="2"/>
  <c r="O116" i="2"/>
  <c r="P116" i="2"/>
  <c r="N116" i="2"/>
  <c r="O115" i="2"/>
  <c r="P115" i="2"/>
  <c r="Q115" i="2"/>
  <c r="R115" i="2"/>
  <c r="N115" i="2"/>
  <c r="O114" i="2"/>
  <c r="P114" i="2"/>
  <c r="N114" i="2"/>
  <c r="O113" i="2"/>
  <c r="P113" i="2"/>
  <c r="N113" i="2"/>
  <c r="O112" i="2"/>
  <c r="P112" i="2"/>
  <c r="N112" i="2"/>
  <c r="O111" i="2"/>
  <c r="P111" i="2"/>
  <c r="N111" i="2"/>
  <c r="O110" i="2"/>
  <c r="P110" i="2"/>
  <c r="Q110" i="2"/>
  <c r="R110" i="2"/>
  <c r="N110" i="2"/>
  <c r="N109" i="2"/>
  <c r="O109" i="2"/>
  <c r="P109" i="2"/>
  <c r="Q109" i="2"/>
  <c r="R109" i="2"/>
  <c r="N108" i="2"/>
  <c r="O108" i="2"/>
  <c r="P108" i="2"/>
  <c r="Q108" i="2"/>
  <c r="R108" i="2"/>
  <c r="O100" i="2"/>
  <c r="P100" i="2"/>
  <c r="N100" i="2"/>
  <c r="O99" i="2"/>
  <c r="P99" i="2"/>
  <c r="Q99" i="2"/>
  <c r="R99" i="2"/>
  <c r="N99" i="2"/>
  <c r="O98" i="2"/>
  <c r="P98" i="2"/>
  <c r="N98" i="2"/>
  <c r="O97" i="2"/>
  <c r="P97" i="2"/>
  <c r="Q97" i="2"/>
  <c r="R97" i="2"/>
  <c r="N97" i="2"/>
  <c r="O96" i="2"/>
  <c r="P96" i="2"/>
  <c r="N96" i="2"/>
  <c r="O95" i="2"/>
  <c r="P95" i="2"/>
  <c r="N95" i="2"/>
  <c r="N94" i="2"/>
  <c r="O94" i="2"/>
  <c r="P94" i="2"/>
  <c r="Q94" i="2"/>
  <c r="R94" i="2"/>
  <c r="N93" i="2"/>
  <c r="O93" i="2"/>
  <c r="P93" i="2"/>
  <c r="Q93" i="2"/>
  <c r="R93" i="2"/>
  <c r="N92" i="2"/>
  <c r="O92" i="2"/>
  <c r="P92" i="2"/>
  <c r="Q92" i="2"/>
  <c r="R92" i="2"/>
  <c r="O83" i="2"/>
  <c r="P83" i="2"/>
  <c r="N83" i="2"/>
  <c r="O82" i="2"/>
  <c r="P82" i="2"/>
  <c r="N82" i="2"/>
  <c r="O81" i="2"/>
  <c r="P81" i="2"/>
  <c r="Q81" i="2"/>
  <c r="R81" i="2"/>
  <c r="N81" i="2"/>
  <c r="O80" i="2"/>
  <c r="P80" i="2"/>
  <c r="Q80" i="2"/>
  <c r="R80" i="2"/>
  <c r="N80" i="2"/>
  <c r="O79" i="2"/>
  <c r="P79" i="2"/>
  <c r="Q79" i="2"/>
  <c r="R79" i="2"/>
  <c r="N79" i="2"/>
  <c r="P78" i="2"/>
  <c r="Q78" i="2"/>
  <c r="R78" i="2"/>
  <c r="O78" i="2"/>
  <c r="N78" i="2"/>
  <c r="O77" i="2"/>
  <c r="P77" i="2"/>
  <c r="Q77" i="2"/>
  <c r="R77" i="2"/>
  <c r="N77" i="2"/>
  <c r="O76" i="2"/>
  <c r="P76" i="2"/>
  <c r="N76" i="2"/>
  <c r="N75" i="2"/>
  <c r="O75" i="2"/>
  <c r="P75" i="2"/>
  <c r="Q75" i="2"/>
  <c r="R75" i="2"/>
  <c r="N74" i="2"/>
  <c r="O74" i="2"/>
  <c r="P74" i="2"/>
  <c r="Q74" i="2"/>
  <c r="R74" i="2"/>
  <c r="O66" i="2"/>
  <c r="P66" i="2"/>
  <c r="Q66" i="2"/>
  <c r="R66" i="2"/>
  <c r="N66" i="2"/>
  <c r="O65" i="2"/>
  <c r="P65" i="2"/>
  <c r="N65" i="2"/>
  <c r="O64" i="2"/>
  <c r="P64" i="2"/>
  <c r="Q64" i="2"/>
  <c r="R64" i="2"/>
  <c r="N64" i="2"/>
  <c r="O63" i="2"/>
  <c r="P63" i="2"/>
  <c r="N63" i="2"/>
  <c r="O62" i="2"/>
  <c r="P62" i="2"/>
  <c r="N62" i="2"/>
  <c r="O61" i="2"/>
  <c r="P61" i="2"/>
  <c r="N61" i="2"/>
  <c r="O60" i="2"/>
  <c r="P60" i="2"/>
  <c r="N60" i="2"/>
  <c r="O59" i="2"/>
  <c r="P59" i="2"/>
  <c r="Q59" i="2"/>
  <c r="R59" i="2"/>
  <c r="N59" i="2"/>
  <c r="O58" i="2"/>
  <c r="P58" i="2"/>
  <c r="Q58" i="2"/>
  <c r="R58" i="2"/>
  <c r="N58" i="2"/>
  <c r="N57" i="2"/>
  <c r="O57" i="2"/>
  <c r="P57" i="2"/>
  <c r="Q57" i="2"/>
  <c r="R57" i="2"/>
  <c r="O47" i="2"/>
  <c r="P47" i="2"/>
  <c r="N47" i="2"/>
  <c r="O46" i="2"/>
  <c r="P46" i="2"/>
  <c r="N46" i="2"/>
  <c r="O45" i="2"/>
  <c r="P45" i="2"/>
  <c r="N45" i="2"/>
  <c r="O44" i="2"/>
  <c r="P44" i="2"/>
  <c r="N44" i="2"/>
  <c r="O43" i="2"/>
  <c r="P43" i="2"/>
  <c r="Q43" i="2"/>
  <c r="R43" i="2"/>
  <c r="N43" i="2"/>
  <c r="N42" i="2"/>
  <c r="O42" i="2"/>
  <c r="P42" i="2"/>
  <c r="Q42" i="2"/>
  <c r="R42" i="2"/>
  <c r="N41" i="2"/>
  <c r="O41" i="2"/>
  <c r="P41" i="2"/>
  <c r="Q41" i="2"/>
  <c r="R41" i="2"/>
  <c r="N40" i="2"/>
  <c r="O40" i="2"/>
  <c r="P40" i="2"/>
  <c r="Q40" i="2"/>
  <c r="R40" i="2"/>
  <c r="N39" i="2"/>
  <c r="O39" i="2"/>
  <c r="P39" i="2"/>
  <c r="Q39" i="2"/>
  <c r="R39" i="2"/>
  <c r="N38" i="2"/>
  <c r="O38" i="2"/>
  <c r="P38" i="2"/>
  <c r="Q38" i="2"/>
  <c r="R38" i="2"/>
  <c r="O29" i="2"/>
  <c r="P29" i="2"/>
  <c r="N29" i="2"/>
  <c r="O28" i="2"/>
  <c r="P28" i="2"/>
  <c r="Q28" i="2"/>
  <c r="R28" i="2"/>
  <c r="N28" i="2"/>
  <c r="O27" i="2"/>
  <c r="P27" i="2"/>
  <c r="N27" i="2"/>
  <c r="O26" i="2"/>
  <c r="P26" i="2"/>
  <c r="N26" i="2"/>
  <c r="P25" i="2"/>
  <c r="O25" i="2"/>
  <c r="N25" i="2"/>
  <c r="P24" i="2"/>
  <c r="Q24" i="2"/>
  <c r="R24" i="2"/>
  <c r="O24" i="2"/>
  <c r="N24" i="2"/>
  <c r="O23" i="2"/>
  <c r="P23" i="2"/>
  <c r="N23" i="2"/>
  <c r="O22" i="2"/>
  <c r="P22" i="2"/>
  <c r="N22" i="2"/>
  <c r="N21" i="2"/>
  <c r="O21" i="2"/>
  <c r="P21" i="2"/>
  <c r="Q21" i="2"/>
  <c r="R21" i="2"/>
  <c r="N20" i="2"/>
  <c r="O20" i="2"/>
  <c r="P20" i="2"/>
  <c r="Q20" i="2"/>
  <c r="R20" i="2"/>
  <c r="Q100" i="2"/>
  <c r="R100" i="2"/>
  <c r="Q147" i="2"/>
  <c r="R147" i="2"/>
  <c r="Q149" i="2"/>
  <c r="R149" i="2"/>
  <c r="Q151" i="2"/>
  <c r="R151" i="2"/>
  <c r="Q185" i="2"/>
  <c r="R185" i="2"/>
  <c r="Q200" i="2"/>
  <c r="R200" i="2"/>
  <c r="Q202" i="2"/>
  <c r="R202" i="2"/>
  <c r="Q246" i="2"/>
  <c r="R246" i="2"/>
  <c r="Q253" i="2"/>
  <c r="R253" i="2"/>
  <c r="Q278" i="2"/>
  <c r="R278" i="2"/>
  <c r="Q282" i="2"/>
  <c r="R282" i="2"/>
  <c r="Q316" i="2"/>
  <c r="R316" i="2"/>
  <c r="Q331" i="2"/>
  <c r="R331" i="2"/>
  <c r="Q415" i="2"/>
  <c r="R415" i="2"/>
  <c r="Q420" i="2"/>
  <c r="R420" i="2"/>
  <c r="Q437" i="2"/>
  <c r="R437" i="2"/>
  <c r="Q250" i="2"/>
  <c r="R250" i="2"/>
  <c r="Q264" i="2"/>
  <c r="R264" i="2"/>
  <c r="Q300" i="2"/>
  <c r="R300" i="2"/>
  <c r="Q348" i="2"/>
  <c r="R348" i="2"/>
  <c r="Q404" i="2"/>
  <c r="R404" i="2"/>
  <c r="Q439" i="2"/>
  <c r="R439" i="2"/>
  <c r="Q450" i="2"/>
  <c r="R450" i="2"/>
  <c r="Q25" i="2"/>
  <c r="R25" i="2"/>
  <c r="Q23" i="2"/>
  <c r="R23" i="2"/>
  <c r="Q45" i="2"/>
  <c r="R45" i="2"/>
  <c r="Q47" i="2"/>
  <c r="R47" i="2"/>
  <c r="Q126" i="2"/>
  <c r="R126" i="2"/>
  <c r="Q128" i="2"/>
  <c r="R128" i="2"/>
  <c r="Q150" i="2"/>
  <c r="R150" i="2"/>
  <c r="Q371" i="2"/>
  <c r="R371" i="2"/>
  <c r="Q26" i="2"/>
  <c r="R26" i="2"/>
  <c r="Q76" i="2"/>
  <c r="R76" i="2"/>
  <c r="Q112" i="2"/>
  <c r="R112" i="2"/>
  <c r="Q114" i="2"/>
  <c r="R114" i="2"/>
  <c r="Q160" i="2"/>
  <c r="R160" i="2"/>
  <c r="Q165" i="2"/>
  <c r="R165" i="2"/>
  <c r="Q229" i="2"/>
  <c r="R229" i="2"/>
  <c r="Q232" i="2"/>
  <c r="R232" i="2"/>
  <c r="Q279" i="2"/>
  <c r="R279" i="2"/>
  <c r="Q283" i="2"/>
  <c r="R283" i="2"/>
  <c r="Q285" i="2"/>
  <c r="R285" i="2"/>
  <c r="Q298" i="2"/>
  <c r="R298" i="2"/>
  <c r="Q302" i="2"/>
  <c r="R302" i="2"/>
  <c r="Q311" i="2"/>
  <c r="R311" i="2"/>
  <c r="Q334" i="2"/>
  <c r="R334" i="2"/>
  <c r="Q347" i="2"/>
  <c r="R347" i="2"/>
  <c r="Q350" i="2"/>
  <c r="R350" i="2"/>
  <c r="Q403" i="2"/>
  <c r="R403" i="2"/>
  <c r="Q422" i="2"/>
  <c r="R422" i="2"/>
  <c r="Q27" i="2"/>
  <c r="R27" i="2"/>
  <c r="Q61" i="2"/>
  <c r="R61" i="2"/>
  <c r="Q63" i="2"/>
  <c r="R63" i="2"/>
  <c r="Q83" i="2"/>
  <c r="R83" i="2"/>
  <c r="Q96" i="2"/>
  <c r="R96" i="2"/>
  <c r="Q133" i="2"/>
  <c r="R133" i="2"/>
  <c r="Q161" i="2"/>
  <c r="R161" i="2"/>
  <c r="Q164" i="2"/>
  <c r="R164" i="2"/>
  <c r="Q233" i="2"/>
  <c r="R233" i="2"/>
  <c r="Q284" i="2"/>
  <c r="R284" i="2"/>
  <c r="Q286" i="2"/>
  <c r="R286" i="2"/>
  <c r="Q301" i="2"/>
  <c r="R301" i="2"/>
  <c r="Q303" i="2"/>
  <c r="R303" i="2"/>
  <c r="Q346" i="2"/>
  <c r="R346" i="2"/>
  <c r="Q351" i="2"/>
  <c r="R351" i="2"/>
  <c r="Q353" i="2"/>
  <c r="R353" i="2"/>
  <c r="Q364" i="2"/>
  <c r="R364" i="2"/>
  <c r="Q384" i="2"/>
  <c r="R384" i="2"/>
  <c r="Q386" i="2"/>
  <c r="R386" i="2"/>
  <c r="Q400" i="2"/>
  <c r="R400" i="2"/>
  <c r="Q431" i="2"/>
  <c r="R431" i="2"/>
  <c r="Q44" i="2"/>
  <c r="R44" i="2"/>
  <c r="Q65" i="2"/>
  <c r="R65" i="2"/>
  <c r="Q98" i="2"/>
  <c r="R98" i="2"/>
  <c r="Q184" i="2"/>
  <c r="R184" i="2"/>
  <c r="Q195" i="2"/>
  <c r="R195" i="2"/>
  <c r="Q213" i="2"/>
  <c r="R213" i="2"/>
  <c r="Q235" i="2"/>
  <c r="R235" i="2"/>
  <c r="R237" i="2"/>
  <c r="Q262" i="2"/>
  <c r="R262" i="2"/>
  <c r="Q265" i="2"/>
  <c r="R265" i="2"/>
  <c r="Q295" i="2"/>
  <c r="R295" i="2"/>
  <c r="Q315" i="2"/>
  <c r="R315" i="2"/>
  <c r="Q320" i="2"/>
  <c r="R320" i="2"/>
  <c r="Q380" i="2"/>
  <c r="R380" i="2"/>
  <c r="Q419" i="2"/>
  <c r="R419" i="2"/>
  <c r="Q433" i="2"/>
  <c r="R433" i="2"/>
  <c r="Q435" i="2"/>
  <c r="R435" i="2"/>
  <c r="Q449" i="2"/>
  <c r="R449" i="2"/>
  <c r="Q414" i="2"/>
  <c r="R414" i="2"/>
  <c r="R423" i="2"/>
  <c r="Q46" i="2"/>
  <c r="R46" i="2"/>
  <c r="Q116" i="2"/>
  <c r="R116" i="2"/>
  <c r="Q127" i="2"/>
  <c r="R127" i="2"/>
  <c r="Q143" i="2"/>
  <c r="R143" i="2"/>
  <c r="Q145" i="2"/>
  <c r="R145" i="2"/>
  <c r="Q148" i="2"/>
  <c r="R148" i="2"/>
  <c r="Q167" i="2"/>
  <c r="R167" i="2"/>
  <c r="Q22" i="2"/>
  <c r="R22" i="2"/>
  <c r="Q29" i="2"/>
  <c r="R29" i="2"/>
  <c r="Q60" i="2"/>
  <c r="R60" i="2"/>
  <c r="Q62" i="2"/>
  <c r="R62" i="2"/>
  <c r="Q82" i="2"/>
  <c r="R82" i="2"/>
  <c r="Q95" i="2"/>
  <c r="R95" i="2"/>
  <c r="R101" i="2"/>
  <c r="Q111" i="2"/>
  <c r="R111" i="2"/>
  <c r="Q113" i="2"/>
  <c r="R113" i="2"/>
  <c r="Q197" i="2"/>
  <c r="R197" i="2"/>
  <c r="Q199" i="2"/>
  <c r="R199" i="2"/>
  <c r="Q215" i="2"/>
  <c r="R215" i="2"/>
  <c r="Q281" i="2"/>
  <c r="R281" i="2"/>
  <c r="Q297" i="2"/>
  <c r="R297" i="2"/>
  <c r="Q312" i="2"/>
  <c r="R312" i="2"/>
  <c r="Q317" i="2"/>
  <c r="R317" i="2"/>
  <c r="Q333" i="2"/>
  <c r="R333" i="2"/>
  <c r="Q352" i="2"/>
  <c r="R352" i="2"/>
  <c r="Q383" i="2"/>
  <c r="R383" i="2"/>
  <c r="Q385" i="2"/>
  <c r="R385" i="2"/>
  <c r="Q402" i="2"/>
  <c r="R402" i="2"/>
  <c r="R84" i="2"/>
  <c r="R67" i="2"/>
  <c r="Q131" i="2"/>
  <c r="R131" i="2"/>
  <c r="Q216" i="2"/>
  <c r="R216" i="2"/>
  <c r="Q267" i="2"/>
  <c r="R267" i="2"/>
  <c r="Q130" i="2"/>
  <c r="R130" i="2"/>
  <c r="Q134" i="2"/>
  <c r="R134" i="2"/>
  <c r="Q194" i="2"/>
  <c r="R194" i="2"/>
  <c r="Q218" i="2"/>
  <c r="R218" i="2"/>
  <c r="Q248" i="2"/>
  <c r="R248" i="2"/>
  <c r="Q270" i="2"/>
  <c r="R270" i="2"/>
  <c r="Q367" i="2"/>
  <c r="R367" i="2"/>
  <c r="Q434" i="2"/>
  <c r="R434" i="2"/>
  <c r="Q198" i="2"/>
  <c r="R198" i="2"/>
  <c r="Q249" i="2"/>
  <c r="R249" i="2"/>
  <c r="Q177" i="2"/>
  <c r="R177" i="2"/>
  <c r="R186" i="2"/>
  <c r="Q196" i="2"/>
  <c r="R196" i="2"/>
  <c r="Q217" i="2"/>
  <c r="R217" i="2"/>
  <c r="Q266" i="2"/>
  <c r="R266" i="2"/>
  <c r="Q296" i="2"/>
  <c r="R296" i="2"/>
  <c r="Q318" i="2"/>
  <c r="R318" i="2"/>
  <c r="Q366" i="2"/>
  <c r="R366" i="2"/>
  <c r="Q370" i="2"/>
  <c r="R370" i="2"/>
  <c r="Q388" i="2"/>
  <c r="R388" i="2"/>
  <c r="Q280" i="2"/>
  <c r="R280" i="2"/>
  <c r="R287" i="2"/>
  <c r="Q299" i="2"/>
  <c r="R299" i="2"/>
  <c r="Q432" i="2"/>
  <c r="R432" i="2"/>
  <c r="R372" i="2"/>
  <c r="R254" i="2"/>
  <c r="R135" i="2"/>
  <c r="R48" i="2"/>
  <c r="R355" i="2"/>
  <c r="R321" i="2"/>
  <c r="R389" i="2"/>
  <c r="R338" i="2"/>
  <c r="R118" i="2"/>
  <c r="R30" i="2"/>
  <c r="R152" i="2"/>
  <c r="R169" i="2"/>
  <c r="R406" i="2"/>
  <c r="R304" i="2"/>
  <c r="R203" i="2"/>
  <c r="R440" i="2"/>
  <c r="R271" i="2"/>
  <c r="R220" i="2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52" i="2"/>
  <c r="N453" i="2"/>
  <c r="N454" i="2"/>
  <c r="N455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52" i="2"/>
  <c r="O453" i="2"/>
  <c r="O454" i="2"/>
  <c r="O455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52" i="2"/>
  <c r="Q452" i="2"/>
  <c r="R452" i="2"/>
  <c r="P453" i="2"/>
  <c r="P454" i="2"/>
  <c r="Q454" i="2"/>
  <c r="R454" i="2"/>
  <c r="P455" i="2"/>
  <c r="Q455" i="2"/>
  <c r="R455" i="2"/>
  <c r="Q463" i="2"/>
  <c r="R463" i="2"/>
  <c r="Q469" i="2"/>
  <c r="R469" i="2"/>
  <c r="Q466" i="2"/>
  <c r="R466" i="2"/>
  <c r="Q589" i="2"/>
  <c r="R589" i="2"/>
  <c r="R592" i="2"/>
  <c r="Q602" i="2"/>
  <c r="R602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R609" i="2"/>
  <c r="R473" i="2"/>
  <c r="R575" i="2"/>
  <c r="R541" i="2"/>
  <c r="R507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<sst xmlns="http://schemas.openxmlformats.org/spreadsheetml/2006/main" count="943" uniqueCount="305">
  <si>
    <t>2020 m. gruodžio mėn. 28 d.</t>
  </si>
  <si>
    <t>Pareiškėjas:</t>
  </si>
  <si>
    <t>Lietuvos buriuotojų sąjunga</t>
  </si>
  <si>
    <t xml:space="preserve">           (Pareiškėjo pavadinimas)</t>
  </si>
  <si>
    <t>Goštauto g.40A, Vilnius            telefono numeris: +370 69952401; elektroninio pašto adresas: info@lbs.lt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</si>
  <si>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</si>
  <si>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</si>
  <si>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</si>
  <si>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</si>
  <si>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</si>
  <si>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</si>
  <si>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</si>
  <si>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</si>
  <si>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</si>
  <si>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</si>
  <si>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</si>
  <si>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</si>
  <si>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</si>
  <si>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</si>
  <si>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</si>
  <si>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</si>
  <si>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</si>
  <si>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</si>
  <si>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</si>
  <si>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</si>
  <si>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</si>
  <si>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OLIMPINĖS ŽAIDYNĖS</t>
  </si>
  <si>
    <t xml:space="preserve">(sporto renginio pavadinimas) </t>
  </si>
  <si>
    <t>Nuoroda į protokolą:  http://www.sailing.org/2016-olympic-games.php?rgtaid=12379&amp;evntid=31364&amp;view=fleetevent&amp;includeref=regattapageresults25775#results__12379   http://site-isaf.soticcloud.net/2016-olympic-games.php?rgtaid=12379&amp;evntid=31370&amp;view=fleetevent&amp;includeref=regattapageresults25775#results__12379</t>
  </si>
  <si>
    <t>Gintarė Scheidt</t>
  </si>
  <si>
    <t>Laser Radial</t>
  </si>
  <si>
    <t>olimpinė</t>
  </si>
  <si>
    <t>OŽ</t>
  </si>
  <si>
    <t>Taip</t>
  </si>
  <si>
    <t>Juozas Bernotas</t>
  </si>
  <si>
    <t>RS:X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</si>
  <si>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</si>
  <si>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</si>
  <si>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</si>
  <si>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PASAULIO ČEMPIONATAS</t>
  </si>
  <si>
    <t xml:space="preserve">Nuoroda į protokolą: http://www.vallartayachtclub.org/race/laserworlds/womensradialresults.htm    http://wissa.purjelaualiit.ee/wp-content/uploads/2015/10/Wissa-Sled-Course-Race_final.pdf   </t>
  </si>
  <si>
    <t>PČ</t>
  </si>
  <si>
    <t>Viktorija Andrulytė</t>
  </si>
  <si>
    <t>Giedrius Liutkus</t>
  </si>
  <si>
    <t>Burlentė ledo</t>
  </si>
  <si>
    <t>neolimpinė</t>
  </si>
  <si>
    <t>PČneol</t>
  </si>
  <si>
    <t>Paulius Voverys</t>
  </si>
  <si>
    <t>Arvydas Moliušis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</si>
  <si>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</si>
  <si>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PASAULIO ČEMPIONATAS</t>
  </si>
  <si>
    <t xml:space="preserve">Nuoroda į protokolą:    http://www.laserradialworlds.com/results/result-laser-radial/      </t>
  </si>
  <si>
    <t>2017 m. EUROPOS ČEMPIONATAS</t>
  </si>
  <si>
    <t xml:space="preserve">Nuoroda į protokolą:   http://www.rsxclass.org/europeans2017/results/men-europeans/      http://www.europeanslaser2017.com/en/default/races/race-resultsall    </t>
  </si>
  <si>
    <t>EČ</t>
  </si>
  <si>
    <t>2018 m. PASAULIO ČEMPIONATAS</t>
  </si>
  <si>
    <t>Nuoroda į protokolą:   https://www.sailwave.com/results/WPNSA/2018_RS_Tera_Worlds/2018WorldResults_Sport_Fleet_F_Series.htm;  http://www.worlds2018.x-35.org;  http://wissa2018.fi/final-results-greetings/,</t>
  </si>
  <si>
    <t>Evelina Jokubauskaitė</t>
  </si>
  <si>
    <t>RS Tera</t>
  </si>
  <si>
    <t>Ne</t>
  </si>
  <si>
    <t>Raimundas Šiugždinis, Andrius Joneikis, Evaldas Plisas, Regimantas Buožius, Rimantas Vilkas, Klaudio Kliučinskas, Tauras Rymonis</t>
  </si>
  <si>
    <t>X-35</t>
  </si>
  <si>
    <t>Burlentė</t>
  </si>
  <si>
    <t>2018 m. EUROPOS ČEMPIONATAS</t>
  </si>
  <si>
    <t xml:space="preserve">Nuoroda į protokolą:           http://eurilca.org/2018-laser-senior-european-championships-results/#1525618198118-3 ,    http://europeans2018.formulawindsurfing.org/result-files/68/5b40c4685f65f.htm </t>
  </si>
  <si>
    <t>Gediminas Gresevičius</t>
  </si>
  <si>
    <t>EČneol</t>
  </si>
  <si>
    <t>2018 m. EUROPOS JAUNIMO ČEMPIONATAS</t>
  </si>
  <si>
    <t>Nuoroda į protokolą:</t>
  </si>
  <si>
    <t>Radvilas Janulionis</t>
  </si>
  <si>
    <t>JEČ</t>
  </si>
  <si>
    <t>2018 m. Pasaulio jaunimo čempionatas</t>
  </si>
  <si>
    <t xml:space="preserve">Nuoroda į protokolą:   http://www.worldsailingywc.org/results/2018_corpuschristi_usa.php </t>
  </si>
  <si>
    <t>Rokas Didrikas</t>
  </si>
  <si>
    <t>JPČ</t>
  </si>
  <si>
    <t>2019m. Europos RS:X burlenčių čempionatas</t>
  </si>
  <si>
    <t>Nuoroda į protokolą: http://2019rsxeuropeans.sailti.com/en/default/races/race-resultsall</t>
  </si>
  <si>
    <t xml:space="preserve">2019m. RS:X Pasaulio čempionantas </t>
  </si>
  <si>
    <t>Nuoroda į protokolą: http://www.rsxclass.org/worlds2019/results/men/</t>
  </si>
  <si>
    <t>2019m. EUROPOS ČEMPIONATAS</t>
  </si>
  <si>
    <t>Nuoroda į protokolą:  https://2019-senior.laser-europeans.org/radial-women-european-results/</t>
  </si>
  <si>
    <t>2019m. PASAULIO ČEMPIONATAS</t>
  </si>
  <si>
    <t>Nuoroda į protokolą:  https://2019worlds.laserjapan.org/radial/results/women/</t>
  </si>
  <si>
    <t xml:space="preserve">Nuoroda į protokolą: https://2019-senior.laser-europeans.org/laser-standard-european-results/ </t>
  </si>
  <si>
    <t>Karolis Janulionis</t>
  </si>
  <si>
    <t>Laser Standart</t>
  </si>
  <si>
    <t>Martis Pajarskas</t>
  </si>
  <si>
    <t>Domantas Juškevičius</t>
  </si>
  <si>
    <t>Nuoroda į protokolą: https://2019worlds.laserjapan.org/standard/results/</t>
  </si>
  <si>
    <t>2019m. EUROPOS JAUNIMO ČEMPIONATAS</t>
  </si>
  <si>
    <t>Nuoroda į protokolą: http://2019.sailingnet.pl/laseru21/results.html#tab</t>
  </si>
  <si>
    <t>Vėjas Strelčiūnas</t>
  </si>
  <si>
    <t>Airidas Rutkauskas</t>
  </si>
  <si>
    <t>Vasilij Šramkov</t>
  </si>
  <si>
    <t>2019m. PASAULIO JAUNIMO ČEMPIONATAS</t>
  </si>
  <si>
    <t>Nuoroda į protokolą: http://2019-u21.laser-worlds.com/wp-content/uploads/sites/14/2019/11/RESULTS_STD.pdf</t>
  </si>
  <si>
    <t>2019m. Europos burlenčių čempionatas</t>
  </si>
  <si>
    <t>Nuoroda į protokolą: https://europeans2019.raceboard.org/results/men</t>
  </si>
  <si>
    <t xml:space="preserve">Vytautas Celiešius </t>
  </si>
  <si>
    <t>2019 m. PASAULIO JAUNIŲ ČEMPIONATAS</t>
  </si>
  <si>
    <t>Nuoroda į protokolą:  http://worldsailingywc.org/results/2019_gdynia_pol.php</t>
  </si>
  <si>
    <t>Nojus Volungevičius</t>
  </si>
  <si>
    <t>JnPČ</t>
  </si>
  <si>
    <t>Jurgis Jurgelionis</t>
  </si>
  <si>
    <t>Lėja Savickaitė</t>
  </si>
  <si>
    <t>Edgaras Liovinas</t>
  </si>
  <si>
    <t>RS X</t>
  </si>
  <si>
    <t>2019 m. PASAULIO „X-35“ jachtų klasės ČEMPIONATAS</t>
  </si>
  <si>
    <t>Nuoroda į protokolą:  http://worlds2019.x-35.org/</t>
  </si>
  <si>
    <t>Raimondas Šiugždinis, Andrius Joneikis, Arūnas Grigaitis, Evaldas Plisas, Regimantas Buožius, Rimantas Vilkas, Klaudio Kliučinskas</t>
  </si>
  <si>
    <t>2019 m. Europos burlenčių slalomo čempionatas</t>
  </si>
  <si>
    <t>Nuoroda į protokolą: http://www.ifcaclass.com/live-score-men-paros/</t>
  </si>
  <si>
    <t>Rytis Jasiūnas</t>
  </si>
  <si>
    <t>2019 m. Europos vėjaračių čempionatas</t>
  </si>
  <si>
    <t>Nuoroda į protokolą: http://laptiming.eu/event/56da6c3e-decf-4dca-9d37-1afd0ecccbbe</t>
  </si>
  <si>
    <t>Vykintas Mizgiris</t>
  </si>
  <si>
    <t>Vėjaratis</t>
  </si>
  <si>
    <t>Antanas Golubovskis</t>
  </si>
  <si>
    <t>Gustas Stankevičius</t>
  </si>
  <si>
    <t>Matas Mizgiris</t>
  </si>
  <si>
    <t>2020 m. EUROPOS ČEMPIONATAS</t>
  </si>
  <si>
    <t>Nuoroda į protokolą:  https://events.pya.org.pl/2020-laser-senior-european-championships-open-european-trophy,e34</t>
  </si>
  <si>
    <t>Laser Standard</t>
  </si>
  <si>
    <t>2020 m. Pasaulio čempionatas</t>
  </si>
  <si>
    <t>Nuoroda į protokolą: http://www.rsxclass.org/worlds2020/results/men/</t>
  </si>
  <si>
    <t>2020 m. Europos čempionatas (Vilamoura, Portugalija)</t>
  </si>
  <si>
    <t>Nuoroda į protokolą: http://vilamourasailing.sailti.com/en/default/races/race-resultsall/text/RSXEYEC2020-en/menuaction/race</t>
  </si>
  <si>
    <t>Nuoroda į protokolą: https://2020europeans.optiworld.org/en/default/races/race-resultsall</t>
  </si>
  <si>
    <t>Erik Sheidt</t>
  </si>
  <si>
    <t>Optimist</t>
  </si>
  <si>
    <t>Matas Kniubas</t>
  </si>
  <si>
    <t>Marius Antanavičius</t>
  </si>
  <si>
    <t>Benas Bestauskas</t>
  </si>
  <si>
    <t>Rūta Mažunavičiūtė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</si>
  <si>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</si>
  <si>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</si>
  <si>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</si>
  <si>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</si>
  <si>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Generalinis sekretorius</t>
  </si>
  <si>
    <t>Arvydas Usnys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</si>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</sst>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  <charset val="1"/>
    </font>
    <font>
      <sz val="11"/>
      <name val="Times New Roman"/>
      <family val="1"/>
    </font>
    <font>
      <sz val="11"/>
      <color theme="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wrapText="1"/>
    </xf>
    <xf numFmtId="0" fontId="31" fillId="0" borderId="3" xfId="0" applyFont="1" applyBorder="1"/>
    <xf numFmtId="0" fontId="0" fillId="0" borderId="3" xfId="0" applyBorder="1"/>
    <xf numFmtId="0" fontId="10" fillId="0" borderId="3" xfId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zoomScaleNormal="100" workbookViewId="0">
      <selection activeCell="T457" sqref="T457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9.140625" style="1" bestFit="1" customWidth="1"/>
    <col min="19" max="16384" width="9.140625" style="1"/>
  </cols>
  <sheetData>
    <row r="1" spans="1:18" s="8" customFormat="1" ht="15.75">
      <c r="D1" s="72"/>
      <c r="E1" s="72"/>
      <c r="F1" s="72"/>
      <c r="G1" s="72"/>
      <c r="H1" s="72"/>
      <c r="I1" s="72"/>
      <c r="J1" s="72"/>
      <c r="K1" s="72"/>
      <c r="L1" s="72"/>
      <c r="N1" s="2"/>
      <c r="O1" s="2"/>
      <c r="P1" s="2"/>
      <c r="Q1" s="2"/>
    </row>
    <row r="2" spans="1:18" s="8" customFormat="1" ht="15.75">
      <c r="B2" s="8" t="s">
        <v>0</v>
      </c>
      <c r="D2" s="72"/>
      <c r="E2" s="72"/>
      <c r="F2" s="72"/>
      <c r="G2" s="72"/>
      <c r="H2" s="72"/>
      <c r="I2" s="72"/>
      <c r="J2" s="72"/>
      <c r="K2" s="72"/>
      <c r="L2" s="72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19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8"/>
    </row>
    <row r="6" spans="1:18" ht="18.75">
      <c r="A6" s="126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8"/>
    </row>
    <row r="7" spans="1:18" s="8" customFormat="1" ht="15.75">
      <c r="A7" s="72"/>
      <c r="B7" s="102" t="s">
        <v>4</v>
      </c>
      <c r="C7" s="102"/>
      <c r="D7" s="102"/>
      <c r="E7" s="102"/>
      <c r="F7" s="102"/>
      <c r="G7" s="102"/>
      <c r="H7" s="102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72"/>
      <c r="B8" s="103" t="s">
        <v>5</v>
      </c>
      <c r="C8" s="103"/>
      <c r="D8" s="10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72"/>
      <c r="B9" s="48">
        <v>191691646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72"/>
      <c r="B10" s="71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104" t="s">
        <v>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108" t="s">
        <v>8</v>
      </c>
      <c r="B13" s="109" t="s">
        <v>9</v>
      </c>
      <c r="C13" s="109" t="s">
        <v>10</v>
      </c>
      <c r="D13" s="109" t="s">
        <v>11</v>
      </c>
      <c r="E13" s="110" t="s">
        <v>12</v>
      </c>
      <c r="F13" s="123"/>
      <c r="G13" s="124"/>
      <c r="H13" s="124"/>
      <c r="I13" s="124"/>
      <c r="J13" s="124"/>
      <c r="K13" s="124"/>
      <c r="L13" s="124"/>
      <c r="M13" s="124"/>
      <c r="N13" s="124"/>
      <c r="O13" s="125"/>
      <c r="P13" s="127" t="s">
        <v>13</v>
      </c>
      <c r="Q13" s="113" t="s">
        <v>14</v>
      </c>
      <c r="R13" s="105" t="s">
        <v>15</v>
      </c>
    </row>
    <row r="14" spans="1:18" s="8" customFormat="1" ht="45" customHeight="1">
      <c r="A14" s="108"/>
      <c r="B14" s="109"/>
      <c r="C14" s="109"/>
      <c r="D14" s="109"/>
      <c r="E14" s="112"/>
      <c r="F14" s="110" t="s">
        <v>16</v>
      </c>
      <c r="G14" s="110" t="s">
        <v>17</v>
      </c>
      <c r="H14" s="110" t="s">
        <v>18</v>
      </c>
      <c r="I14" s="129" t="s">
        <v>19</v>
      </c>
      <c r="J14" s="110" t="s">
        <v>20</v>
      </c>
      <c r="K14" s="110" t="s">
        <v>21</v>
      </c>
      <c r="L14" s="110" t="s">
        <v>22</v>
      </c>
      <c r="M14" s="110" t="s">
        <v>23</v>
      </c>
      <c r="N14" s="121" t="s">
        <v>24</v>
      </c>
      <c r="O14" s="121" t="s">
        <v>25</v>
      </c>
      <c r="P14" s="128"/>
      <c r="Q14" s="114"/>
      <c r="R14" s="106"/>
    </row>
    <row r="15" spans="1:18" s="8" customFormat="1" ht="76.150000000000006" customHeight="1">
      <c r="A15" s="108"/>
      <c r="B15" s="109"/>
      <c r="C15" s="109"/>
      <c r="D15" s="109"/>
      <c r="E15" s="111"/>
      <c r="F15" s="111"/>
      <c r="G15" s="111"/>
      <c r="H15" s="111"/>
      <c r="I15" s="130"/>
      <c r="J15" s="111"/>
      <c r="K15" s="111"/>
      <c r="L15" s="111"/>
      <c r="M15" s="111"/>
      <c r="N15" s="122"/>
      <c r="O15" s="122"/>
      <c r="P15" s="128"/>
      <c r="Q15" s="115"/>
      <c r="R15" s="107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ht="15" customHeight="1">
      <c r="A17" s="76" t="s">
        <v>26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69"/>
      <c r="R17" s="8"/>
      <c r="S17" s="8"/>
    </row>
    <row r="18" spans="1:19" ht="16.899999999999999" customHeight="1">
      <c r="A18" s="78" t="s">
        <v>27</v>
      </c>
      <c r="B18" s="79"/>
      <c r="C18" s="7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69"/>
      <c r="R18" s="8"/>
      <c r="S18" s="8"/>
    </row>
    <row r="19" spans="1:19" s="8" customFormat="1" ht="30" customHeight="1">
      <c r="A19" s="97" t="s">
        <v>28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68"/>
    </row>
    <row r="20" spans="1:19" s="8" customFormat="1">
      <c r="A20" s="73">
        <v>1</v>
      </c>
      <c r="B20" s="73" t="s">
        <v>29</v>
      </c>
      <c r="C20" s="12" t="s">
        <v>30</v>
      </c>
      <c r="D20" s="73" t="s">
        <v>31</v>
      </c>
      <c r="E20" s="73">
        <v>1</v>
      </c>
      <c r="F20" s="73" t="s">
        <v>32</v>
      </c>
      <c r="G20" s="73">
        <v>4</v>
      </c>
      <c r="H20" s="73" t="s">
        <v>33</v>
      </c>
      <c r="I20" s="73"/>
      <c r="J20" s="73">
        <v>37</v>
      </c>
      <c r="K20" s="73">
        <v>37</v>
      </c>
      <c r="L20" s="73">
        <v>7</v>
      </c>
      <c r="M20" s="73"/>
      <c r="N20" s="3">
        <f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4,1,IF(OR(F20="PČ",F20="PŽ",F20="PT"),IF(J20&lt;32,J20/32,1),1))* IF(L20&lt;4,1,IF(OR(F20="EČ",F20="EŽ",F20="JOŽ",F20="JPČ",F20="NEAK"),IF(J20&lt;24,J20/24,1),1))*IF(L20&lt;4,1,IF(OR(F20="PČneol",F20="JEČ",F20="JEOF",F20="JnPČ",F20="JnEČ",F20="JčPČ",F20="JčEČ"),IF(J20&lt;16,J20/16,1),1))*IF(L20&lt;4,1,IF(F20="EČneol",IF(J20&lt;8,J20/8,1),1))</f>
        <v>148.5</v>
      </c>
      <c r="O20" s="9">
        <f t="shared" ref="O20:O21" si="0">IF(F20="OŽ",N20,IF(H20="Ne",IF(J20*0.3&lt;=J20-L20,N20,0),IF(J20*0.1&lt;=J20-L20,N20,0)))</f>
        <v>148.5</v>
      </c>
      <c r="P20" s="4">
        <f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53.244</v>
      </c>
      <c r="Q20" s="11">
        <f>IF(ISERROR(P20*100/N20),0,(P20*100/N20))</f>
        <v>35.854545454545452</v>
      </c>
      <c r="R20" s="10">
        <f>IF(Q20&lt;=30,O20+P20,O20+O20*0.3)*IF(G20=1,0.4,IF(G20=2,0.75,IF(G20="1 (kas 4 m. 1 k. nerengiamos)",0.52,1)))*IF(D20="olimpinė",1,IF(M20="Ne",0.5,1))*IF(D20="olimpinė",1,IF(J20&lt;8,0,1))*E20*IF(D20="olimpinė",1,IF(K20&lt;16,0,1))*IF(I20&lt;=1,1,1/I20)*IF(OR(A$5="Lietuvos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202.70250000000001</v>
      </c>
      <c r="S20" s="20"/>
    </row>
    <row r="21" spans="1:19" s="8" customFormat="1">
      <c r="A21" s="73">
        <v>2</v>
      </c>
      <c r="B21" s="73" t="s">
        <v>34</v>
      </c>
      <c r="C21" s="12" t="s">
        <v>35</v>
      </c>
      <c r="D21" s="73" t="s">
        <v>31</v>
      </c>
      <c r="E21" s="73">
        <v>1</v>
      </c>
      <c r="F21" s="73" t="s">
        <v>32</v>
      </c>
      <c r="G21" s="73">
        <v>4</v>
      </c>
      <c r="H21" s="73" t="s">
        <v>33</v>
      </c>
      <c r="I21" s="73"/>
      <c r="J21" s="73">
        <v>36</v>
      </c>
      <c r="K21" s="73">
        <v>36</v>
      </c>
      <c r="L21" s="73">
        <v>26</v>
      </c>
      <c r="M21" s="73"/>
      <c r="N21" s="3">
        <f t="shared" ref="N21" si="1">(IF(F21="OŽ",IF(L21=1,550.8,IF(L21=2,426.38,IF(L21=3,342.14,IF(L21=4,181.44,IF(L21=5,168.48,IF(L21=6,155.52,IF(L21=7,148.5,IF(L21=8,144,0))))))))+IF(L21&lt;=8,0,IF(L21&lt;=16,137.7,IF(L21&lt;=24,108,IF(L21&lt;=32,80.1,IF(L21&lt;=36,52.2,0)))))-IF(L21&lt;=8,0,IF(L21&lt;=16,(L21-9)*2.754,IF(L21&lt;=24,(L21-17)* 2.754,IF(L21&lt;=32,(L21-25)* 2.754,IF(L21&lt;=36,(L21-33)*2.754,0))))),0)+IF(F21="PČ",IF(L21=1,449,IF(L21=2,314.6,IF(L21=3,238,IF(L21=4,172,IF(L21=5,159,IF(L21=6,145,IF(L21=7,132,IF(L21=8,119,0))))))))+IF(L21&lt;=8,0,IF(L21&lt;=16,88,IF(L21&lt;=24,55,IF(L21&lt;=32,22,0))))-IF(L21&lt;=8,0,IF(L21&lt;=16,(L21-9)*2.245,IF(L21&lt;=24,(L21-17)*2.245,IF(L21&lt;=32,(L21-25)*2.245,0)))),0)+IF(F21="PČneol",IF(L21=1,85,IF(L21=2,64.61,IF(L21=3,50.76,IF(L21=4,16.25,IF(L21=5,15,IF(L21=6,13.75,IF(L21=7,12.5,IF(L21=8,11.25,0))))))))+IF(L21&lt;=8,0,IF(L21&lt;=16,9,0))-IF(L21&lt;=8,0,IF(L21&lt;=16,(L21-9)*0.425,0)),0)+IF(F21="PŽ",IF(L21=1,85,IF(L21=2,59.5,IF(L21=3,45,IF(L21=4,32.5,IF(L21=5,30,IF(L21=6,27.5,IF(L21=7,25,IF(L21=8,22.5,0))))))))+IF(L21&lt;=8,0,IF(L21&lt;=16,19,IF(L21&lt;=24,13,IF(L21&lt;=32,8,0))))-IF(L21&lt;=8,0,IF(L21&lt;=16,(L21-9)*0.425,IF(L21&lt;=24,(L21-17)*0.425,IF(L21&lt;=32,(L21-25)*0.425,0)))),0)+IF(F21="EČ",IF(L21=1,204,IF(L21=2,156.24,IF(L21=3,123.84,IF(L21=4,72,IF(L21=5,66,IF(L21=6,60,IF(L21=7,54,IF(L21=8,48,0))))))))+IF(L21&lt;=8,0,IF(L21&lt;=16,40,IF(L21&lt;=24,25,0)))-IF(L21&lt;=8,0,IF(L21&lt;=16,(L21-9)*1.02,IF(L21&lt;=24,(L21-17)*1.02,0))),0)+IF(F21="EČneol",IF(L21=1,68,IF(L21=2,51.69,IF(L21=3,40.61,IF(L21=4,13,IF(L21=5,12,IF(L21=6,11,IF(L21=7,10,IF(L21=8,9,0)))))))))+IF(F21="EŽ",IF(L21=1,68,IF(L21=2,47.6,IF(L21=3,36,IF(L21=4,18,IF(L21=5,16.5,IF(L21=6,15,IF(L21=7,13.5,IF(L21=8,12,0))))))))+IF(L21&lt;=8,0,IF(L21&lt;=16,10,IF(L21&lt;=24,6,0)))-IF(L21&lt;=8,0,IF(L21&lt;=16,(L21-9)*0.34,IF(L21&lt;=24,(L21-17)*0.34,0))),0)+IF(F21="PT",IF(L21=1,68,IF(L21=2,52.08,IF(L21=3,41.28,IF(L21=4,24,IF(L21=5,22,IF(L21=6,20,IF(L21=7,18,IF(L21=8,16,0))))))))+IF(L21&lt;=8,0,IF(L21&lt;=16,13,IF(L21&lt;=24,9,IF(L21&lt;=32,4,0))))-IF(L21&lt;=8,0,IF(L21&lt;=16,(L21-9)*0.34,IF(L21&lt;=24,(L21-17)*0.34,IF(L21&lt;=32,(L21-25)*0.34,0)))),0)+IF(F21="JOŽ",IF(L21=1,85,IF(L21=2,59.5,IF(L21=3,45,IF(L21=4,32.5,IF(L21=5,30,IF(L21=6,27.5,IF(L21=7,25,IF(L21=8,22.5,0))))))))+IF(L21&lt;=8,0,IF(L21&lt;=16,19,IF(L21&lt;=24,13,0)))-IF(L21&lt;=8,0,IF(L21&lt;=16,(L21-9)*0.425,IF(L21&lt;=24,(L21-17)*0.425,0))),0)+IF(F21="JPČ",IF(L21=1,68,IF(L21=2,47.6,IF(L21=3,36,IF(L21=4,26,IF(L21=5,24,IF(L21=6,22,IF(L21=7,20,IF(L21=8,18,0))))))))+IF(L21&lt;=8,0,IF(L21&lt;=16,13,IF(L21&lt;=24,9,0)))-IF(L21&lt;=8,0,IF(L21&lt;=16,(L21-9)*0.34,IF(L21&lt;=24,(L21-17)*0.34,0))),0)+IF(F21="JEČ",IF(L21=1,34,IF(L21=2,26.04,IF(L21=3,20.6,IF(L21=4,12,IF(L21=5,11,IF(L21=6,10,IF(L21=7,9,IF(L21=8,8,0))))))))+IF(L21&lt;=8,0,IF(L21&lt;=16,6,0))-IF(L21&lt;=8,0,IF(L21&lt;=16,(L21-9)*0.17,0)),0)+IF(F21="JEOF",IF(L21=1,34,IF(L21=2,26.04,IF(L21=3,20.6,IF(L21=4,12,IF(L21=5,11,IF(L21=6,10,IF(L21=7,9,IF(L21=8,8,0))))))))+IF(L21&lt;=8,0,IF(L21&lt;=16,6,0))-IF(L21&lt;=8,0,IF(L21&lt;=16,(L21-9)*0.17,0)),0)+IF(F21="JnPČ",IF(L21=1,51,IF(L21=2,35.7,IF(L21=3,27,IF(L21=4,19.5,IF(L21=5,18,IF(L21=6,16.5,IF(L21=7,15,IF(L21=8,13.5,0))))))))+IF(L21&lt;=8,0,IF(L21&lt;=16,10,0))-IF(L21&lt;=8,0,IF(L21&lt;=16,(L21-9)*0.255,0)),0)+IF(F21="JnEČ",IF(L21=1,25.5,IF(L21=2,19.53,IF(L21=3,15.48,IF(L21=4,9,IF(L21=5,8.25,IF(L21=6,7.5,IF(L21=7,6.75,IF(L21=8,6,0))))))))+IF(L21&lt;=8,0,IF(L21&lt;=16,5,0))-IF(L21&lt;=8,0,IF(L21&lt;=16,(L21-9)*0.1275,0)),0)+IF(F21="JčPČ",IF(L21=1,21.25,IF(L21=2,14.5,IF(L21=3,11.5,IF(L21=4,7,IF(L21=5,6.5,IF(L21=6,6,IF(L21=7,5.5,IF(L21=8,5,0))))))))+IF(L21&lt;=8,0,IF(L21&lt;=16,4,0))-IF(L21&lt;=8,0,IF(L21&lt;=16,(L21-9)*0.10625,0)),0)+IF(F21="JčEČ",IF(L21=1,17,IF(L21=2,13.02,IF(L21=3,10.32,IF(L21=4,6,IF(L21=5,5.5,IF(L21=6,5,IF(L21=7,4.5,IF(L21=8,4,0))))))))+IF(L21&lt;=8,0,IF(L21&lt;=16,3,0))-IF(L21&lt;=8,0,IF(L21&lt;=16,(L21-9)*0.085,0)),0)+IF(F21="NEAK",IF(L21=1,11.48,IF(L21=2,8.79,IF(L21=3,6.97,IF(L21=4,4.05,IF(L21=5,3.71,IF(L21=6,3.38,IF(L21=7,3.04,IF(L21=8,2.7,0))))))))+IF(L21&lt;=8,0,IF(L21&lt;=16,2,IF(L21&lt;=24,1.3,0)))-IF(L21&lt;=8,0,IF(L21&lt;=16,(L21-9)*0.0574,IF(L21&lt;=24,(L21-17)*0.0574,0))),0))*IF(L21&lt;4,1,IF(OR(F21="PČ",F21="PŽ",F21="PT"),IF(J21&lt;32,J21/32,1),1))* IF(L21&lt;4,1,IF(OR(F21="EČ",F21="EŽ",F21="JOŽ",F21="JPČ",F21="NEAK"),IF(J21&lt;24,J21/24,1),1))*IF(L21&lt;4,1,IF(OR(F21="PČneol",F21="JEČ",F21="JEOF",F21="JnPČ",F21="JnEČ",F21="JčPČ",F21="JčEČ"),IF(J21&lt;16,J21/16,1),1))*IF(L21&lt;4,1,IF(F21="EČneol",IF(J21&lt;8,J21/8,1),1))</f>
        <v>77.345999999999989</v>
      </c>
      <c r="O21" s="9">
        <f t="shared" si="0"/>
        <v>77.345999999999989</v>
      </c>
      <c r="P21" s="4">
        <f t="shared" ref="P21:P29" si="2">IF(O21=0,0,IF(F21="OŽ",IF(L21&gt;35,0,IF(J21&gt;35,(36-L21)*1.836,((36-L21)-(36-J21))*1.836)),0)+IF(F21="PČ",IF(L21&gt;31,0,IF(J21&gt;31,(32-L21)*1.347,((32-L21)-(32-J21))*1.347)),0)+ IF(F21="PČneol",IF(L21&gt;15,0,IF(J21&gt;15,(16-L21)*0.255,((16-L21)-(16-J21))*0.255)),0)+IF(F21="PŽ",IF(L21&gt;31,0,IF(J21&gt;31,(32-L21)*0.255,((32-L21)-(32-J21))*0.255)),0)+IF(F21="EČ",IF(L21&gt;23,0,IF(J21&gt;23,(24-L21)*0.612,((24-L21)-(24-J21))*0.612)),0)+IF(F21="EČneol",IF(L21&gt;7,0,IF(J21&gt;7,(8-L21)*0.204,((8-L21)-(8-J21))*0.204)),0)+IF(F21="EŽ",IF(L21&gt;23,0,IF(J21&gt;23,(24-L21)*0.204,((24-L21)-(24-J21))*0.204)),0)+IF(F21="PT",IF(L21&gt;31,0,IF(J21&gt;31,(32-L21)*0.204,((32-L21)-(32-J21))*0.204)),0)+IF(F21="JOŽ",IF(L21&gt;23,0,IF(J21&gt;23,(24-L21)*0.255,((24-L21)-(24-J21))*0.255)),0)+IF(F21="JPČ",IF(L21&gt;23,0,IF(J21&gt;23,(24-L21)*0.204,((24-L21)-(24-J21))*0.204)),0)+IF(F21="JEČ",IF(L21&gt;15,0,IF(J21&gt;15,(16-L21)*0.102,((16-L21)-(16-J21))*0.102)),0)+IF(F21="JEOF",IF(L21&gt;15,0,IF(J21&gt;15,(16-L21)*0.102,((16-L21)-(16-J21))*0.102)),0)+IF(F21="JnPČ",IF(L21&gt;15,0,IF(J21&gt;15,(16-L21)*0.153,((16-L21)-(16-J21))*0.153)),0)+IF(F21="JnEČ",IF(L21&gt;15,0,IF(J21&gt;15,(16-L21)*0.0765,((16-L21)-(16-J21))*0.0765)),0)+IF(F21="JčPČ",IF(L21&gt;15,0,IF(J21&gt;15,(16-L21)*0.06375,((16-L21)-(16-J21))*0.06375)),0)+IF(F21="JčEČ",IF(L21&gt;15,0,IF(J21&gt;15,(16-L21)*0.051,((16-L21)-(16-J21))*0.051)),0)+IF(F21="NEAK",IF(L21&gt;23,0,IF(J21&gt;23,(24-L21)*0.03444,((24-L21)-(24-J21))*0.03444)),0))</f>
        <v>18.36</v>
      </c>
      <c r="Q21" s="11">
        <f t="shared" ref="Q21:Q29" si="3">IF(ISERROR(P21*100/N21),0,(P21*100/N21))</f>
        <v>23.737491272981153</v>
      </c>
      <c r="R21" s="10">
        <f t="shared" ref="R21" si="4">IF(Q21&lt;=30,O21+P21,O21+O21*0.3)*IF(G21=1,0.4,IF(G21=2,0.75,IF(G21="1 (kas 4 m. 1 k. nerengiamos)",0.52,1)))*IF(D21="olimpinė",1,IF(M21="Ne",0.5,1))*IF(D21="olimpinė",1,IF(J21&lt;8,0,1))*E21*IF(D21="olimpinė",1,IF(K21&lt;16,0,1))*IF(I21&lt;=1,1,1/I21)*IF(OR(A$5="Lietuvos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100.4913</v>
      </c>
      <c r="S21" s="20"/>
    </row>
    <row r="22" spans="1:19" s="8" customFormat="1">
      <c r="A22" s="73">
        <v>3</v>
      </c>
      <c r="B22" s="73"/>
      <c r="C22" s="1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3">
        <f t="shared" ref="N22:N29" si="5">(IF(F22="OŽ",IF(L22=1,550.8,IF(L22=2,426.38,IF(L22=3,342.14,IF(L22=4,181.44,IF(L22=5,168.48,IF(L22=6,155.52,IF(L22=7,148.5,IF(L22=8,144,0))))))))+IF(L22&lt;=8,0,IF(L22&lt;=16,137.7,IF(L22&lt;=24,108,IF(L22&lt;=32,80.1,IF(L22&lt;=36,52.2,0)))))-IF(L22&lt;=8,0,IF(L22&lt;=16,(L22-9)*2.754,IF(L22&lt;=24,(L22-17)* 2.754,IF(L22&lt;=32,(L22-25)* 2.754,IF(L22&lt;=36,(L22-33)*2.754,0))))),0)+IF(F22="PČ",IF(L22=1,449,IF(L22=2,314.6,IF(L22=3,238,IF(L22=4,172,IF(L22=5,159,IF(L22=6,145,IF(L22=7,132,IF(L22=8,119,0))))))))+IF(L22&lt;=8,0,IF(L22&lt;=16,88,IF(L22&lt;=24,55,IF(L22&lt;=32,22,0))))-IF(L22&lt;=8,0,IF(L22&lt;=16,(L22-9)*2.245,IF(L22&lt;=24,(L22-17)*2.245,IF(L22&lt;=32,(L22-25)*2.245,0)))),0)+IF(F22="PČneol",IF(L22=1,85,IF(L22=2,64.61,IF(L22=3,50.76,IF(L22=4,16.25,IF(L22=5,15,IF(L22=6,13.75,IF(L22=7,12.5,IF(L22=8,11.25,0))))))))+IF(L22&lt;=8,0,IF(L22&lt;=16,9,0))-IF(L22&lt;=8,0,IF(L22&lt;=16,(L22-9)*0.425,0)),0)+IF(F22="PŽ",IF(L22=1,85,IF(L22=2,59.5,IF(L22=3,45,IF(L22=4,32.5,IF(L22=5,30,IF(L22=6,27.5,IF(L22=7,25,IF(L22=8,22.5,0))))))))+IF(L22&lt;=8,0,IF(L22&lt;=16,19,IF(L22&lt;=24,13,IF(L22&lt;=32,8,0))))-IF(L22&lt;=8,0,IF(L22&lt;=16,(L22-9)*0.425,IF(L22&lt;=24,(L22-17)*0.425,IF(L22&lt;=32,(L22-25)*0.425,0)))),0)+IF(F22="EČ",IF(L22=1,204,IF(L22=2,156.24,IF(L22=3,123.84,IF(L22=4,72,IF(L22=5,66,IF(L22=6,60,IF(L22=7,54,IF(L22=8,48,0))))))))+IF(L22&lt;=8,0,IF(L22&lt;=16,40,IF(L22&lt;=24,25,0)))-IF(L22&lt;=8,0,IF(L22&lt;=16,(L22-9)*1.02,IF(L22&lt;=24,(L22-17)*1.02,0))),0)+IF(F22="EČneol",IF(L22=1,68,IF(L22=2,51.69,IF(L22=3,40.61,IF(L22=4,13,IF(L22=5,12,IF(L22=6,11,IF(L22=7,10,IF(L22=8,9,0)))))))))+IF(F22="EŽ",IF(L22=1,68,IF(L22=2,47.6,IF(L22=3,36,IF(L22=4,18,IF(L22=5,16.5,IF(L22=6,15,IF(L22=7,13.5,IF(L22=8,12,0))))))))+IF(L22&lt;=8,0,IF(L22&lt;=16,10,IF(L22&lt;=24,6,0)))-IF(L22&lt;=8,0,IF(L22&lt;=16,(L22-9)*0.34,IF(L22&lt;=24,(L22-17)*0.34,0))),0)+IF(F22="PT",IF(L22=1,68,IF(L22=2,52.08,IF(L22=3,41.28,IF(L22=4,24,IF(L22=5,22,IF(L22=6,20,IF(L22=7,18,IF(L22=8,16,0))))))))+IF(L22&lt;=8,0,IF(L22&lt;=16,13,IF(L22&lt;=24,9,IF(L22&lt;=32,4,0))))-IF(L22&lt;=8,0,IF(L22&lt;=16,(L22-9)*0.34,IF(L22&lt;=24,(L22-17)*0.34,IF(L22&lt;=32,(L22-25)*0.34,0)))),0)+IF(F22="JOŽ",IF(L22=1,85,IF(L22=2,59.5,IF(L22=3,45,IF(L22=4,32.5,IF(L22=5,30,IF(L22=6,27.5,IF(L22=7,25,IF(L22=8,22.5,0))))))))+IF(L22&lt;=8,0,IF(L22&lt;=16,19,IF(L22&lt;=24,13,0)))-IF(L22&lt;=8,0,IF(L22&lt;=16,(L22-9)*0.425,IF(L22&lt;=24,(L22-17)*0.425,0))),0)+IF(F22="JPČ",IF(L22=1,68,IF(L22=2,47.6,IF(L22=3,36,IF(L22=4,26,IF(L22=5,24,IF(L22=6,22,IF(L22=7,20,IF(L22=8,18,0))))))))+IF(L22&lt;=8,0,IF(L22&lt;=16,13,IF(L22&lt;=24,9,0)))-IF(L22&lt;=8,0,IF(L22&lt;=16,(L22-9)*0.34,IF(L22&lt;=24,(L22-17)*0.34,0))),0)+IF(F22="JEČ",IF(L22=1,34,IF(L22=2,26.04,IF(L22=3,20.6,IF(L22=4,12,IF(L22=5,11,IF(L22=6,10,IF(L22=7,9,IF(L22=8,8,0))))))))+IF(L22&lt;=8,0,IF(L22&lt;=16,6,0))-IF(L22&lt;=8,0,IF(L22&lt;=16,(L22-9)*0.17,0)),0)+IF(F22="JEOF",IF(L22=1,34,IF(L22=2,26.04,IF(L22=3,20.6,IF(L22=4,12,IF(L22=5,11,IF(L22=6,10,IF(L22=7,9,IF(L22=8,8,0))))))))+IF(L22&lt;=8,0,IF(L22&lt;=16,6,0))-IF(L22&lt;=8,0,IF(L22&lt;=16,(L22-9)*0.17,0)),0)+IF(F22="JnPČ",IF(L22=1,51,IF(L22=2,35.7,IF(L22=3,27,IF(L22=4,19.5,IF(L22=5,18,IF(L22=6,16.5,IF(L22=7,15,IF(L22=8,13.5,0))))))))+IF(L22&lt;=8,0,IF(L22&lt;=16,10,0))-IF(L22&lt;=8,0,IF(L22&lt;=16,(L22-9)*0.255,0)),0)+IF(F22="JnEČ",IF(L22=1,25.5,IF(L22=2,19.53,IF(L22=3,15.48,IF(L22=4,9,IF(L22=5,8.25,IF(L22=6,7.5,IF(L22=7,6.75,IF(L22=8,6,0))))))))+IF(L22&lt;=8,0,IF(L22&lt;=16,5,0))-IF(L22&lt;=8,0,IF(L22&lt;=16,(L22-9)*0.1275,0)),0)+IF(F22="JčPČ",IF(L22=1,21.25,IF(L22=2,14.5,IF(L22=3,11.5,IF(L22=4,7,IF(L22=5,6.5,IF(L22=6,6,IF(L22=7,5.5,IF(L22=8,5,0))))))))+IF(L22&lt;=8,0,IF(L22&lt;=16,4,0))-IF(L22&lt;=8,0,IF(L22&lt;=16,(L22-9)*0.10625,0)),0)+IF(F22="JčEČ",IF(L22=1,17,IF(L22=2,13.02,IF(L22=3,10.32,IF(L22=4,6,IF(L22=5,5.5,IF(L22=6,5,IF(L22=7,4.5,IF(L22=8,4,0))))))))+IF(L22&lt;=8,0,IF(L22&lt;=16,3,0))-IF(L22&lt;=8,0,IF(L22&lt;=16,(L22-9)*0.085,0)),0)+IF(F22="NEAK",IF(L22=1,11.48,IF(L22=2,8.79,IF(L22=3,6.97,IF(L22=4,4.05,IF(L22=5,3.71,IF(L22=6,3.38,IF(L22=7,3.04,IF(L22=8,2.7,0))))))))+IF(L22&lt;=8,0,IF(L22&lt;=16,2,IF(L22&lt;=24,1.3,0)))-IF(L22&lt;=8,0,IF(L22&lt;=16,(L22-9)*0.0574,IF(L22&lt;=24,(L22-17)*0.0574,0))),0))*IF(L22&lt;0,1,IF(OR(F22="PČ",F22="PŽ",F22="PT"),IF(J22&lt;32,J22/32,1),1))* IF(L22&lt;0,1,IF(OR(F22="EČ",F22="EŽ",F22="JOŽ",F22="JPČ",F22="NEAK"),IF(J22&lt;24,J22/24,1),1))*IF(L22&lt;0,1,IF(OR(F22="PČneol",F22="JEČ",F22="JEOF",F22="JnPČ",F22="JnEČ",F22="JčPČ",F22="JčEČ"),IF(J22&lt;16,J22/16,1),1))*IF(L22&lt;0,1,IF(F22="EČneol",IF(J22&lt;8,J22/8,1),1))</f>
        <v>0</v>
      </c>
      <c r="O22" s="9">
        <f t="shared" ref="O22:O29" si="6">IF(F22="OŽ",N22,IF(H22="Ne",IF(J22*0.3&lt;J22-L22,N22,0),IF(J22*0.1&lt;J22-L22,N22,0)))</f>
        <v>0</v>
      </c>
      <c r="P22" s="4">
        <f t="shared" si="2"/>
        <v>0</v>
      </c>
      <c r="Q22" s="11">
        <f t="shared" si="3"/>
        <v>0</v>
      </c>
      <c r="R22" s="10">
        <f t="shared" ref="R22:R29" si="7">IF(Q22&lt;=30,O22+P22,O22+O22*0.3)*IF(G22=1,0.4,IF(G22=2,0.75,IF(G22="1 (kas 4 m. 1 k. nerengiamos)",0.52,1)))*IF(D22="olimpinė",1,IF(M22="Ne",0.5,1))*IF(OR(A$5="Lietuvos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federacija"),IF(OR(J22&lt;8,K22&lt;16),0,1),1)*E22*IF(I22&lt;=1,1,1/I22)*IF(OR(A$5="Lietuvos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3" spans="1:19" s="8" customFormat="1">
      <c r="A23" s="73">
        <v>4</v>
      </c>
      <c r="B23" s="73"/>
      <c r="C23" s="1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3">
        <f t="shared" si="5"/>
        <v>0</v>
      </c>
      <c r="O23" s="9">
        <f t="shared" si="6"/>
        <v>0</v>
      </c>
      <c r="P23" s="4">
        <f t="shared" si="2"/>
        <v>0</v>
      </c>
      <c r="Q23" s="11">
        <f t="shared" si="3"/>
        <v>0</v>
      </c>
      <c r="R23" s="10">
        <f t="shared" si="7"/>
        <v>0</v>
      </c>
    </row>
    <row r="24" spans="1:19" s="8" customFormat="1">
      <c r="A24" s="73">
        <v>5</v>
      </c>
      <c r="B24" s="73"/>
      <c r="C24" s="1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3">
        <f t="shared" si="5"/>
        <v>0</v>
      </c>
      <c r="O24" s="9">
        <f t="shared" si="6"/>
        <v>0</v>
      </c>
      <c r="P24" s="4">
        <f t="shared" si="2"/>
        <v>0</v>
      </c>
      <c r="Q24" s="11">
        <f t="shared" si="3"/>
        <v>0</v>
      </c>
      <c r="R24" s="10">
        <f t="shared" si="7"/>
        <v>0</v>
      </c>
    </row>
    <row r="25" spans="1:19" s="8" customFormat="1">
      <c r="A25" s="73">
        <v>6</v>
      </c>
      <c r="B25" s="73"/>
      <c r="C25" s="1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3">
        <f t="shared" si="5"/>
        <v>0</v>
      </c>
      <c r="O25" s="9">
        <f t="shared" si="6"/>
        <v>0</v>
      </c>
      <c r="P25" s="4">
        <f t="shared" si="2"/>
        <v>0</v>
      </c>
      <c r="Q25" s="11">
        <f t="shared" si="3"/>
        <v>0</v>
      </c>
      <c r="R25" s="10">
        <f t="shared" si="7"/>
        <v>0</v>
      </c>
    </row>
    <row r="26" spans="1:19" s="8" customFormat="1">
      <c r="A26" s="73">
        <v>7</v>
      </c>
      <c r="B26" s="73"/>
      <c r="C26" s="1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3">
        <f t="shared" si="5"/>
        <v>0</v>
      </c>
      <c r="O26" s="9">
        <f t="shared" si="6"/>
        <v>0</v>
      </c>
      <c r="P26" s="4">
        <f t="shared" si="2"/>
        <v>0</v>
      </c>
      <c r="Q26" s="11">
        <f t="shared" si="3"/>
        <v>0</v>
      </c>
      <c r="R26" s="10">
        <f t="shared" si="7"/>
        <v>0</v>
      </c>
    </row>
    <row r="27" spans="1:19" s="8" customFormat="1">
      <c r="A27" s="73">
        <v>8</v>
      </c>
      <c r="B27" s="73"/>
      <c r="C27" s="1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3">
        <f t="shared" si="5"/>
        <v>0</v>
      </c>
      <c r="O27" s="9">
        <f t="shared" si="6"/>
        <v>0</v>
      </c>
      <c r="P27" s="4">
        <f t="shared" si="2"/>
        <v>0</v>
      </c>
      <c r="Q27" s="11">
        <f t="shared" si="3"/>
        <v>0</v>
      </c>
      <c r="R27" s="10">
        <f t="shared" si="7"/>
        <v>0</v>
      </c>
    </row>
    <row r="28" spans="1:19" s="8" customFormat="1">
      <c r="A28" s="73">
        <v>9</v>
      </c>
      <c r="B28" s="73"/>
      <c r="C28" s="1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3">
        <f t="shared" si="5"/>
        <v>0</v>
      </c>
      <c r="O28" s="9">
        <f t="shared" si="6"/>
        <v>0</v>
      </c>
      <c r="P28" s="4">
        <f t="shared" si="2"/>
        <v>0</v>
      </c>
      <c r="Q28" s="11">
        <f t="shared" si="3"/>
        <v>0</v>
      </c>
      <c r="R28" s="10">
        <f t="shared" si="7"/>
        <v>0</v>
      </c>
    </row>
    <row r="29" spans="1:19" s="8" customFormat="1">
      <c r="A29" s="73">
        <v>10</v>
      </c>
      <c r="B29" s="73"/>
      <c r="C29" s="1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3">
        <f t="shared" si="5"/>
        <v>0</v>
      </c>
      <c r="O29" s="9">
        <f t="shared" si="6"/>
        <v>0</v>
      </c>
      <c r="P29" s="4">
        <f t="shared" si="2"/>
        <v>0</v>
      </c>
      <c r="Q29" s="11">
        <f t="shared" si="3"/>
        <v>0</v>
      </c>
      <c r="R29" s="10">
        <f t="shared" si="7"/>
        <v>0</v>
      </c>
    </row>
    <row r="30" spans="1:19" s="8" customFormat="1" ht="15.75" customHeight="1">
      <c r="A30" s="87" t="s">
        <v>36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10">
        <f>SUM(R20:R29)</f>
        <v>303.19380000000001</v>
      </c>
    </row>
    <row r="31" spans="1:19" s="8" customFormat="1" ht="15" customHeight="1">
      <c r="A31" s="14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</row>
    <row r="32" spans="1:19" s="8" customFormat="1" ht="15" customHeight="1">
      <c r="A32" s="24" t="s">
        <v>37</v>
      </c>
      <c r="B32" s="24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</row>
    <row r="33" spans="1:18" s="8" customFormat="1" ht="15" customHeight="1">
      <c r="A33" s="49" t="s">
        <v>38</v>
      </c>
      <c r="B33" s="49"/>
      <c r="C33" s="49"/>
      <c r="D33" s="49"/>
      <c r="E33" s="49"/>
      <c r="F33" s="49"/>
      <c r="G33" s="49"/>
      <c r="H33" s="49"/>
      <c r="I33" s="49"/>
      <c r="J33" s="56"/>
      <c r="K33" s="56"/>
      <c r="L33" s="56"/>
      <c r="M33" s="56"/>
      <c r="N33" s="56"/>
      <c r="O33" s="56"/>
      <c r="P33" s="56"/>
      <c r="Q33" s="56"/>
      <c r="R33" s="57"/>
    </row>
    <row r="34" spans="1:18" s="8" customFormat="1" ht="15" customHeight="1">
      <c r="A34" s="49"/>
      <c r="B34" s="49"/>
      <c r="C34" s="49"/>
      <c r="D34" s="49"/>
      <c r="E34" s="49"/>
      <c r="F34" s="49"/>
      <c r="G34" s="49"/>
      <c r="H34" s="49"/>
      <c r="I34" s="49"/>
      <c r="J34" s="56"/>
      <c r="K34" s="56"/>
      <c r="L34" s="56"/>
      <c r="M34" s="56"/>
      <c r="N34" s="56"/>
      <c r="O34" s="56"/>
      <c r="P34" s="56"/>
      <c r="Q34" s="56"/>
      <c r="R34" s="57"/>
    </row>
    <row r="35" spans="1:18" s="8" customFormat="1">
      <c r="A35" s="76" t="s">
        <v>39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68"/>
    </row>
    <row r="36" spans="1:18" s="8" customFormat="1" ht="16.899999999999999" customHeight="1">
      <c r="A36" s="78" t="s">
        <v>27</v>
      </c>
      <c r="B36" s="79"/>
      <c r="C36" s="7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68"/>
    </row>
    <row r="37" spans="1:18" s="8" customFormat="1" ht="15" customHeight="1">
      <c r="A37" s="85" t="s">
        <v>40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68"/>
    </row>
    <row r="38" spans="1:18" s="8" customFormat="1">
      <c r="A38" s="73">
        <v>1</v>
      </c>
      <c r="B38" s="73" t="s">
        <v>29</v>
      </c>
      <c r="C38" s="12" t="s">
        <v>30</v>
      </c>
      <c r="D38" s="73" t="s">
        <v>31</v>
      </c>
      <c r="E38" s="73">
        <v>1</v>
      </c>
      <c r="F38" s="73" t="s">
        <v>41</v>
      </c>
      <c r="G38" s="73">
        <v>1</v>
      </c>
      <c r="H38" s="73" t="s">
        <v>33</v>
      </c>
      <c r="I38" s="73"/>
      <c r="J38" s="73">
        <v>71</v>
      </c>
      <c r="K38" s="73">
        <v>22</v>
      </c>
      <c r="L38" s="73">
        <v>5</v>
      </c>
      <c r="M38" s="73"/>
      <c r="N38" s="3">
        <f>(IF(F38="OŽ",IF(L38=1,550.8,IF(L38=2,426.38,IF(L38=3,342.14,IF(L38=4,181.44,IF(L38=5,168.48,IF(L38=6,155.52,IF(L38=7,148.5,IF(L38=8,144,0))))))))+IF(L38&lt;=8,0,IF(L38&lt;=16,137.7,IF(L38&lt;=24,108,IF(L38&lt;=32,80.1,IF(L38&lt;=36,52.2,0)))))-IF(L38&lt;=8,0,IF(L38&lt;=16,(L38-9)*2.754,IF(L38&lt;=24,(L38-17)* 2.754,IF(L38&lt;=32,(L38-25)* 2.754,IF(L38&lt;=36,(L38-33)*2.754,0))))),0)+IF(F38="PČ",IF(L38=1,449,IF(L38=2,314.6,IF(L38=3,238,IF(L38=4,172,IF(L38=5,159,IF(L38=6,145,IF(L38=7,132,IF(L38=8,119,0))))))))+IF(L38&lt;=8,0,IF(L38&lt;=16,88,IF(L38&lt;=24,55,IF(L38&lt;=32,22,0))))-IF(L38&lt;=8,0,IF(L38&lt;=16,(L38-9)*2.245,IF(L38&lt;=24,(L38-17)*2.245,IF(L38&lt;=32,(L38-25)*2.245,0)))),0)+IF(F38="PČneol",IF(L38=1,85,IF(L38=2,64.61,IF(L38=3,50.76,IF(L38=4,16.25,IF(L38=5,15,IF(L38=6,13.75,IF(L38=7,12.5,IF(L38=8,11.25,0))))))))+IF(L38&lt;=8,0,IF(L38&lt;=16,9,0))-IF(L38&lt;=8,0,IF(L38&lt;=16,(L38-9)*0.425,0)),0)+IF(F38="PŽ",IF(L38=1,85,IF(L38=2,59.5,IF(L38=3,45,IF(L38=4,32.5,IF(L38=5,30,IF(L38=6,27.5,IF(L38=7,25,IF(L38=8,22.5,0))))))))+IF(L38&lt;=8,0,IF(L38&lt;=16,19,IF(L38&lt;=24,13,IF(L38&lt;=32,8,0))))-IF(L38&lt;=8,0,IF(L38&lt;=16,(L38-9)*0.425,IF(L38&lt;=24,(L38-17)*0.425,IF(L38&lt;=32,(L38-25)*0.425,0)))),0)+IF(F38="EČ",IF(L38=1,204,IF(L38=2,156.24,IF(L38=3,123.84,IF(L38=4,72,IF(L38=5,66,IF(L38=6,60,IF(L38=7,54,IF(L38=8,48,0))))))))+IF(L38&lt;=8,0,IF(L38&lt;=16,40,IF(L38&lt;=24,25,0)))-IF(L38&lt;=8,0,IF(L38&lt;=16,(L38-9)*1.02,IF(L38&lt;=24,(L38-17)*1.02,0))),0)+IF(F38="EČneol",IF(L38=1,68,IF(L38=2,51.69,IF(L38=3,40.61,IF(L38=4,13,IF(L38=5,12,IF(L38=6,11,IF(L38=7,10,IF(L38=8,9,0)))))))))+IF(F38="EŽ",IF(L38=1,68,IF(L38=2,47.6,IF(L38=3,36,IF(L38=4,18,IF(L38=5,16.5,IF(L38=6,15,IF(L38=7,13.5,IF(L38=8,12,0))))))))+IF(L38&lt;=8,0,IF(L38&lt;=16,10,IF(L38&lt;=24,6,0)))-IF(L38&lt;=8,0,IF(L38&lt;=16,(L38-9)*0.34,IF(L38&lt;=24,(L38-17)*0.34,0))),0)+IF(F38="PT",IF(L38=1,68,IF(L38=2,52.08,IF(L38=3,41.28,IF(L38=4,24,IF(L38=5,22,IF(L38=6,20,IF(L38=7,18,IF(L38=8,16,0))))))))+IF(L38&lt;=8,0,IF(L38&lt;=16,13,IF(L38&lt;=24,9,IF(L38&lt;=32,4,0))))-IF(L38&lt;=8,0,IF(L38&lt;=16,(L38-9)*0.34,IF(L38&lt;=24,(L38-17)*0.34,IF(L38&lt;=32,(L38-25)*0.34,0)))),0)+IF(F38="JOŽ",IF(L38=1,85,IF(L38=2,59.5,IF(L38=3,45,IF(L38=4,32.5,IF(L38=5,30,IF(L38=6,27.5,IF(L38=7,25,IF(L38=8,22.5,0))))))))+IF(L38&lt;=8,0,IF(L38&lt;=16,19,IF(L38&lt;=24,13,0)))-IF(L38&lt;=8,0,IF(L38&lt;=16,(L38-9)*0.425,IF(L38&lt;=24,(L38-17)*0.425,0))),0)+IF(F38="JPČ",IF(L38=1,68,IF(L38=2,47.6,IF(L38=3,36,IF(L38=4,26,IF(L38=5,24,IF(L38=6,22,IF(L38=7,20,IF(L38=8,18,0))))))))+IF(L38&lt;=8,0,IF(L38&lt;=16,13,IF(L38&lt;=24,9,0)))-IF(L38&lt;=8,0,IF(L38&lt;=16,(L38-9)*0.34,IF(L38&lt;=24,(L38-17)*0.34,0))),0)+IF(F38="JEČ",IF(L38=1,34,IF(L38=2,26.04,IF(L38=3,20.6,IF(L38=4,12,IF(L38=5,11,IF(L38=6,10,IF(L38=7,9,IF(L38=8,8,0))))))))+IF(L38&lt;=8,0,IF(L38&lt;=16,6,0))-IF(L38&lt;=8,0,IF(L38&lt;=16,(L38-9)*0.17,0)),0)+IF(F38="JEOF",IF(L38=1,34,IF(L38=2,26.04,IF(L38=3,20.6,IF(L38=4,12,IF(L38=5,11,IF(L38=6,10,IF(L38=7,9,IF(L38=8,8,0))))))))+IF(L38&lt;=8,0,IF(L38&lt;=16,6,0))-IF(L38&lt;=8,0,IF(L38&lt;=16,(L38-9)*0.17,0)),0)+IF(F38="JnPČ",IF(L38=1,51,IF(L38=2,35.7,IF(L38=3,27,IF(L38=4,19.5,IF(L38=5,18,IF(L38=6,16.5,IF(L38=7,15,IF(L38=8,13.5,0))))))))+IF(L38&lt;=8,0,IF(L38&lt;=16,10,0))-IF(L38&lt;=8,0,IF(L38&lt;=16,(L38-9)*0.255,0)),0)+IF(F38="JnEČ",IF(L38=1,25.5,IF(L38=2,19.53,IF(L38=3,15.48,IF(L38=4,9,IF(L38=5,8.25,IF(L38=6,7.5,IF(L38=7,6.75,IF(L38=8,6,0))))))))+IF(L38&lt;=8,0,IF(L38&lt;=16,5,0))-IF(L38&lt;=8,0,IF(L38&lt;=16,(L38-9)*0.1275,0)),0)+IF(F38="JčPČ",IF(L38=1,21.25,IF(L38=2,14.5,IF(L38=3,11.5,IF(L38=4,7,IF(L38=5,6.5,IF(L38=6,6,IF(L38=7,5.5,IF(L38=8,5,0))))))))+IF(L38&lt;=8,0,IF(L38&lt;=16,4,0))-IF(L38&lt;=8,0,IF(L38&lt;=16,(L38-9)*0.10625,0)),0)+IF(F38="JčEČ",IF(L38=1,17,IF(L38=2,13.02,IF(L38=3,10.32,IF(L38=4,6,IF(L38=5,5.5,IF(L38=6,5,IF(L38=7,4.5,IF(L38=8,4,0))))))))+IF(L38&lt;=8,0,IF(L38&lt;=16,3,0))-IF(L38&lt;=8,0,IF(L38&lt;=16,(L38-9)*0.085,0)),0)+IF(F38="NEAK",IF(L38=1,11.48,IF(L38=2,8.79,IF(L38=3,6.97,IF(L38=4,4.05,IF(L38=5,3.71,IF(L38=6,3.38,IF(L38=7,3.04,IF(L38=8,2.7,0))))))))+IF(L38&lt;=8,0,IF(L38&lt;=16,2,IF(L38&lt;=24,1.3,0)))-IF(L38&lt;=8,0,IF(L38&lt;=16,(L38-9)*0.0574,IF(L38&lt;=24,(L38-17)*0.0574,0))),0))*IF(L38&lt;4,1,IF(OR(F38="PČ",F38="PŽ",F38="PT"),IF(J38&lt;32,J38/32,1),1))* IF(L38&lt;4,1,IF(OR(F38="EČ",F38="EŽ",F38="JOŽ",F38="JPČ",F38="NEAK"),IF(J38&lt;24,J38/24,1),1))*IF(L38&lt;4,1,IF(OR(F38="PČneol",F38="JEČ",F38="JEOF",F38="JnPČ",F38="JnEČ",F38="JčPČ",F38="JčEČ"),IF(J38&lt;16,J38/16,1),1))*IF(L38&lt;4,1,IF(F38="EČneol",IF(J38&lt;8,J38/8,1),1))</f>
        <v>159</v>
      </c>
      <c r="O38" s="9">
        <f t="shared" ref="O38:O42" si="8">IF(F38="OŽ",N38,IF(H38="Ne",IF(J38*0.3&lt;=J38-L38,N38,0),IF(J38*0.1&lt;=J38-L38,N38,0)))</f>
        <v>159</v>
      </c>
      <c r="P38" s="4">
        <f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36.369</v>
      </c>
      <c r="Q38" s="11">
        <f>IF(ISERROR(P38*100/N38),0,(P38*100/N38))</f>
        <v>22.873584905660376</v>
      </c>
      <c r="R38" s="10">
        <f>IF(Q38&lt;=30,O38+P38,O38+O38*0.3)*IF(G38=1,0.4,IF(G38=2,0.75,IF(G38="1 (kas 4 m. 1 k. nerengiamos)",0.52,1)))*IF(D38="olimpinė",1,IF(M38="Ne",0.5,1))*IF(D38="olimpinė",1,IF(J38&lt;8,0,1))*E38*IF(D38="olimpinė",1,IF(K38&lt;16,0,1))*IF(I38&lt;=1,1,1/I38)*IF(OR(A$5="Lietuvos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82.054980000000015</v>
      </c>
    </row>
    <row r="39" spans="1:18" s="8" customFormat="1">
      <c r="A39" s="73">
        <v>2</v>
      </c>
      <c r="B39" s="73" t="s">
        <v>42</v>
      </c>
      <c r="C39" s="12" t="s">
        <v>30</v>
      </c>
      <c r="D39" s="73" t="s">
        <v>31</v>
      </c>
      <c r="E39" s="73">
        <v>1</v>
      </c>
      <c r="F39" s="73" t="s">
        <v>41</v>
      </c>
      <c r="G39" s="73">
        <v>1</v>
      </c>
      <c r="H39" s="73" t="s">
        <v>33</v>
      </c>
      <c r="I39" s="73"/>
      <c r="J39" s="73">
        <v>71</v>
      </c>
      <c r="K39" s="73">
        <v>22</v>
      </c>
      <c r="L39" s="73">
        <v>25</v>
      </c>
      <c r="M39" s="73"/>
      <c r="N39" s="3">
        <f t="shared" ref="N39:N42" si="9">(IF(F39="OŽ",IF(L39=1,550.8,IF(L39=2,426.38,IF(L39=3,342.14,IF(L39=4,181.44,IF(L39=5,168.48,IF(L39=6,155.52,IF(L39=7,148.5,IF(L39=8,144,0))))))))+IF(L39&lt;=8,0,IF(L39&lt;=16,137.7,IF(L39&lt;=24,108,IF(L39&lt;=32,80.1,IF(L39&lt;=36,52.2,0)))))-IF(L39&lt;=8,0,IF(L39&lt;=16,(L39-9)*2.754,IF(L39&lt;=24,(L39-17)* 2.754,IF(L39&lt;=32,(L39-25)* 2.754,IF(L39&lt;=36,(L39-33)*2.754,0))))),0)+IF(F39="PČ",IF(L39=1,449,IF(L39=2,314.6,IF(L39=3,238,IF(L39=4,172,IF(L39=5,159,IF(L39=6,145,IF(L39=7,132,IF(L39=8,119,0))))))))+IF(L39&lt;=8,0,IF(L39&lt;=16,88,IF(L39&lt;=24,55,IF(L39&lt;=32,22,0))))-IF(L39&lt;=8,0,IF(L39&lt;=16,(L39-9)*2.245,IF(L39&lt;=24,(L39-17)*2.245,IF(L39&lt;=32,(L39-25)*2.245,0)))),0)+IF(F39="PČneol",IF(L39=1,85,IF(L39=2,64.61,IF(L39=3,50.76,IF(L39=4,16.25,IF(L39=5,15,IF(L39=6,13.75,IF(L39=7,12.5,IF(L39=8,11.25,0))))))))+IF(L39&lt;=8,0,IF(L39&lt;=16,9,0))-IF(L39&lt;=8,0,IF(L39&lt;=16,(L39-9)*0.425,0)),0)+IF(F39="PŽ",IF(L39=1,85,IF(L39=2,59.5,IF(L39=3,45,IF(L39=4,32.5,IF(L39=5,30,IF(L39=6,27.5,IF(L39=7,25,IF(L39=8,22.5,0))))))))+IF(L39&lt;=8,0,IF(L39&lt;=16,19,IF(L39&lt;=24,13,IF(L39&lt;=32,8,0))))-IF(L39&lt;=8,0,IF(L39&lt;=16,(L39-9)*0.425,IF(L39&lt;=24,(L39-17)*0.425,IF(L39&lt;=32,(L39-25)*0.425,0)))),0)+IF(F39="EČ",IF(L39=1,204,IF(L39=2,156.24,IF(L39=3,123.84,IF(L39=4,72,IF(L39=5,66,IF(L39=6,60,IF(L39=7,54,IF(L39=8,48,0))))))))+IF(L39&lt;=8,0,IF(L39&lt;=16,40,IF(L39&lt;=24,25,0)))-IF(L39&lt;=8,0,IF(L39&lt;=16,(L39-9)*1.02,IF(L39&lt;=24,(L39-17)*1.02,0))),0)+IF(F39="EČneol",IF(L39=1,68,IF(L39=2,51.69,IF(L39=3,40.61,IF(L39=4,13,IF(L39=5,12,IF(L39=6,11,IF(L39=7,10,IF(L39=8,9,0)))))))))+IF(F39="EŽ",IF(L39=1,68,IF(L39=2,47.6,IF(L39=3,36,IF(L39=4,18,IF(L39=5,16.5,IF(L39=6,15,IF(L39=7,13.5,IF(L39=8,12,0))))))))+IF(L39&lt;=8,0,IF(L39&lt;=16,10,IF(L39&lt;=24,6,0)))-IF(L39&lt;=8,0,IF(L39&lt;=16,(L39-9)*0.34,IF(L39&lt;=24,(L39-17)*0.34,0))),0)+IF(F39="PT",IF(L39=1,68,IF(L39=2,52.08,IF(L39=3,41.28,IF(L39=4,24,IF(L39=5,22,IF(L39=6,20,IF(L39=7,18,IF(L39=8,16,0))))))))+IF(L39&lt;=8,0,IF(L39&lt;=16,13,IF(L39&lt;=24,9,IF(L39&lt;=32,4,0))))-IF(L39&lt;=8,0,IF(L39&lt;=16,(L39-9)*0.34,IF(L39&lt;=24,(L39-17)*0.34,IF(L39&lt;=32,(L39-25)*0.34,0)))),0)+IF(F39="JOŽ",IF(L39=1,85,IF(L39=2,59.5,IF(L39=3,45,IF(L39=4,32.5,IF(L39=5,30,IF(L39=6,27.5,IF(L39=7,25,IF(L39=8,22.5,0))))))))+IF(L39&lt;=8,0,IF(L39&lt;=16,19,IF(L39&lt;=24,13,0)))-IF(L39&lt;=8,0,IF(L39&lt;=16,(L39-9)*0.425,IF(L39&lt;=24,(L39-17)*0.425,0))),0)+IF(F39="JPČ",IF(L39=1,68,IF(L39=2,47.6,IF(L39=3,36,IF(L39=4,26,IF(L39=5,24,IF(L39=6,22,IF(L39=7,20,IF(L39=8,18,0))))))))+IF(L39&lt;=8,0,IF(L39&lt;=16,13,IF(L39&lt;=24,9,0)))-IF(L39&lt;=8,0,IF(L39&lt;=16,(L39-9)*0.34,IF(L39&lt;=24,(L39-17)*0.34,0))),0)+IF(F39="JEČ",IF(L39=1,34,IF(L39=2,26.04,IF(L39=3,20.6,IF(L39=4,12,IF(L39=5,11,IF(L39=6,10,IF(L39=7,9,IF(L39=8,8,0))))))))+IF(L39&lt;=8,0,IF(L39&lt;=16,6,0))-IF(L39&lt;=8,0,IF(L39&lt;=16,(L39-9)*0.17,0)),0)+IF(F39="JEOF",IF(L39=1,34,IF(L39=2,26.04,IF(L39=3,20.6,IF(L39=4,12,IF(L39=5,11,IF(L39=6,10,IF(L39=7,9,IF(L39=8,8,0))))))))+IF(L39&lt;=8,0,IF(L39&lt;=16,6,0))-IF(L39&lt;=8,0,IF(L39&lt;=16,(L39-9)*0.17,0)),0)+IF(F39="JnPČ",IF(L39=1,51,IF(L39=2,35.7,IF(L39=3,27,IF(L39=4,19.5,IF(L39=5,18,IF(L39=6,16.5,IF(L39=7,15,IF(L39=8,13.5,0))))))))+IF(L39&lt;=8,0,IF(L39&lt;=16,10,0))-IF(L39&lt;=8,0,IF(L39&lt;=16,(L39-9)*0.255,0)),0)+IF(F39="JnEČ",IF(L39=1,25.5,IF(L39=2,19.53,IF(L39=3,15.48,IF(L39=4,9,IF(L39=5,8.25,IF(L39=6,7.5,IF(L39=7,6.75,IF(L39=8,6,0))))))))+IF(L39&lt;=8,0,IF(L39&lt;=16,5,0))-IF(L39&lt;=8,0,IF(L39&lt;=16,(L39-9)*0.1275,0)),0)+IF(F39="JčPČ",IF(L39=1,21.25,IF(L39=2,14.5,IF(L39=3,11.5,IF(L39=4,7,IF(L39=5,6.5,IF(L39=6,6,IF(L39=7,5.5,IF(L39=8,5,0))))))))+IF(L39&lt;=8,0,IF(L39&lt;=16,4,0))-IF(L39&lt;=8,0,IF(L39&lt;=16,(L39-9)*0.10625,0)),0)+IF(F39="JčEČ",IF(L39=1,17,IF(L39=2,13.02,IF(L39=3,10.32,IF(L39=4,6,IF(L39=5,5.5,IF(L39=6,5,IF(L39=7,4.5,IF(L39=8,4,0))))))))+IF(L39&lt;=8,0,IF(L39&lt;=16,3,0))-IF(L39&lt;=8,0,IF(L39&lt;=16,(L39-9)*0.085,0)),0)+IF(F39="NEAK",IF(L39=1,11.48,IF(L39=2,8.79,IF(L39=3,6.97,IF(L39=4,4.05,IF(L39=5,3.71,IF(L39=6,3.38,IF(L39=7,3.04,IF(L39=8,2.7,0))))))))+IF(L39&lt;=8,0,IF(L39&lt;=16,2,IF(L39&lt;=24,1.3,0)))-IF(L39&lt;=8,0,IF(L39&lt;=16,(L39-9)*0.0574,IF(L39&lt;=24,(L39-17)*0.0574,0))),0))*IF(L39&lt;4,1,IF(OR(F39="PČ",F39="PŽ",F39="PT"),IF(J39&lt;32,J39/32,1),1))* IF(L39&lt;4,1,IF(OR(F39="EČ",F39="EŽ",F39="JOŽ",F39="JPČ",F39="NEAK"),IF(J39&lt;24,J39/24,1),1))*IF(L39&lt;4,1,IF(OR(F39="PČneol",F39="JEČ",F39="JEOF",F39="JnPČ",F39="JnEČ",F39="JčPČ",F39="JčEČ"),IF(J39&lt;16,J39/16,1),1))*IF(L39&lt;4,1,IF(F39="EČneol",IF(J39&lt;8,J39/8,1),1))</f>
        <v>22</v>
      </c>
      <c r="O39" s="9">
        <f t="shared" si="8"/>
        <v>22</v>
      </c>
      <c r="P39" s="4">
        <f t="shared" ref="P39:P47" si="10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9.4290000000000003</v>
      </c>
      <c r="Q39" s="11">
        <f t="shared" ref="Q39:Q47" si="11">IF(ISERROR(P39*100/N39),0,(P39*100/N39))</f>
        <v>42.859090909090909</v>
      </c>
      <c r="R39" s="10">
        <f t="shared" ref="R39:R42" si="12">IF(Q39&lt;=30,O39+P39,O39+O39*0.3)*IF(G39=1,0.4,IF(G39=2,0.75,IF(G39="1 (kas 4 m. 1 k. nerengiamos)",0.52,1)))*IF(D39="olimpinė",1,IF(M39="Ne",0.5,1))*IF(D39="olimpinė",1,IF(J39&lt;8,0,1))*E39*IF(D39="olimpinė",1,IF(K39&lt;16,0,1))*IF(I39&lt;=1,1,1/I39)*IF(OR(A$5="Lietuvos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12.012000000000002</v>
      </c>
    </row>
    <row r="40" spans="1:18" s="8" customFormat="1">
      <c r="A40" s="73">
        <v>3</v>
      </c>
      <c r="B40" s="58" t="s">
        <v>43</v>
      </c>
      <c r="C40" s="12" t="s">
        <v>44</v>
      </c>
      <c r="D40" s="73" t="s">
        <v>45</v>
      </c>
      <c r="E40" s="73">
        <v>1</v>
      </c>
      <c r="F40" s="73" t="s">
        <v>46</v>
      </c>
      <c r="G40" s="73">
        <v>1</v>
      </c>
      <c r="H40" s="73" t="s">
        <v>33</v>
      </c>
      <c r="I40" s="73"/>
      <c r="J40" s="73">
        <v>53</v>
      </c>
      <c r="K40" s="73">
        <v>17</v>
      </c>
      <c r="L40" s="73">
        <v>4</v>
      </c>
      <c r="M40" s="73"/>
      <c r="N40" s="3">
        <f t="shared" si="9"/>
        <v>16.25</v>
      </c>
      <c r="O40" s="9">
        <f t="shared" si="8"/>
        <v>16.25</v>
      </c>
      <c r="P40" s="4">
        <f t="shared" si="10"/>
        <v>3.06</v>
      </c>
      <c r="Q40" s="11">
        <f t="shared" si="11"/>
        <v>18.830769230769231</v>
      </c>
      <c r="R40" s="10">
        <f t="shared" si="12"/>
        <v>8.1102000000000007</v>
      </c>
    </row>
    <row r="41" spans="1:18" s="8" customFormat="1">
      <c r="A41" s="73">
        <v>4</v>
      </c>
      <c r="B41" s="73" t="s">
        <v>47</v>
      </c>
      <c r="C41" s="12" t="s">
        <v>44</v>
      </c>
      <c r="D41" s="73" t="s">
        <v>45</v>
      </c>
      <c r="E41" s="73">
        <v>1</v>
      </c>
      <c r="F41" s="73" t="s">
        <v>46</v>
      </c>
      <c r="G41" s="73">
        <v>1</v>
      </c>
      <c r="H41" s="73" t="s">
        <v>33</v>
      </c>
      <c r="I41" s="73"/>
      <c r="J41" s="73">
        <v>53</v>
      </c>
      <c r="K41" s="73">
        <v>17</v>
      </c>
      <c r="L41" s="73">
        <v>2</v>
      </c>
      <c r="M41" s="73"/>
      <c r="N41" s="3">
        <f t="shared" si="9"/>
        <v>64.61</v>
      </c>
      <c r="O41" s="9">
        <f t="shared" si="8"/>
        <v>64.61</v>
      </c>
      <c r="P41" s="4">
        <f t="shared" si="10"/>
        <v>3.5700000000000003</v>
      </c>
      <c r="Q41" s="11">
        <f t="shared" si="11"/>
        <v>5.52546045503792</v>
      </c>
      <c r="R41" s="10">
        <f t="shared" si="12"/>
        <v>28.635600000000007</v>
      </c>
    </row>
    <row r="42" spans="1:18" s="8" customFormat="1">
      <c r="A42" s="73">
        <v>5</v>
      </c>
      <c r="B42" s="73" t="s">
        <v>48</v>
      </c>
      <c r="C42" s="12" t="s">
        <v>44</v>
      </c>
      <c r="D42" s="73" t="s">
        <v>45</v>
      </c>
      <c r="E42" s="73">
        <v>1</v>
      </c>
      <c r="F42" s="73" t="s">
        <v>46</v>
      </c>
      <c r="G42" s="73">
        <v>1</v>
      </c>
      <c r="H42" s="73" t="s">
        <v>33</v>
      </c>
      <c r="I42" s="73"/>
      <c r="J42" s="73">
        <v>53</v>
      </c>
      <c r="K42" s="73">
        <v>17</v>
      </c>
      <c r="L42" s="73">
        <v>10</v>
      </c>
      <c r="M42" s="73"/>
      <c r="N42" s="3">
        <f t="shared" si="9"/>
        <v>8.5749999999999993</v>
      </c>
      <c r="O42" s="9">
        <f t="shared" si="8"/>
        <v>8.5749999999999993</v>
      </c>
      <c r="P42" s="4">
        <f t="shared" si="10"/>
        <v>1.53</v>
      </c>
      <c r="Q42" s="11">
        <f t="shared" si="11"/>
        <v>17.84256559766764</v>
      </c>
      <c r="R42" s="10">
        <f t="shared" si="12"/>
        <v>4.2441000000000004</v>
      </c>
    </row>
    <row r="43" spans="1:18" s="8" customFormat="1">
      <c r="A43" s="73">
        <v>6</v>
      </c>
      <c r="B43" s="73"/>
      <c r="C43" s="1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3">
        <f t="shared" ref="N43:N47" si="13">(IF(F43="OŽ",IF(L43=1,550.8,IF(L43=2,426.38,IF(L43=3,342.14,IF(L43=4,181.44,IF(L43=5,168.48,IF(L43=6,155.52,IF(L43=7,148.5,IF(L43=8,144,0))))))))+IF(L43&lt;=8,0,IF(L43&lt;=16,137.7,IF(L43&lt;=24,108,IF(L43&lt;=32,80.1,IF(L43&lt;=36,52.2,0)))))-IF(L43&lt;=8,0,IF(L43&lt;=16,(L43-9)*2.754,IF(L43&lt;=24,(L43-17)* 2.754,IF(L43&lt;=32,(L43-25)* 2.754,IF(L43&lt;=36,(L43-33)*2.754,0))))),0)+IF(F43="PČ",IF(L43=1,449,IF(L43=2,314.6,IF(L43=3,238,IF(L43=4,172,IF(L43=5,159,IF(L43=6,145,IF(L43=7,132,IF(L43=8,119,0))))))))+IF(L43&lt;=8,0,IF(L43&lt;=16,88,IF(L43&lt;=24,55,IF(L43&lt;=32,22,0))))-IF(L43&lt;=8,0,IF(L43&lt;=16,(L43-9)*2.245,IF(L43&lt;=24,(L43-17)*2.245,IF(L43&lt;=32,(L43-25)*2.245,0)))),0)+IF(F43="PČneol",IF(L43=1,85,IF(L43=2,64.61,IF(L43=3,50.76,IF(L43=4,16.25,IF(L43=5,15,IF(L43=6,13.75,IF(L43=7,12.5,IF(L43=8,11.25,0))))))))+IF(L43&lt;=8,0,IF(L43&lt;=16,9,0))-IF(L43&lt;=8,0,IF(L43&lt;=16,(L43-9)*0.425,0)),0)+IF(F43="PŽ",IF(L43=1,85,IF(L43=2,59.5,IF(L43=3,45,IF(L43=4,32.5,IF(L43=5,30,IF(L43=6,27.5,IF(L43=7,25,IF(L43=8,22.5,0))))))))+IF(L43&lt;=8,0,IF(L43&lt;=16,19,IF(L43&lt;=24,13,IF(L43&lt;=32,8,0))))-IF(L43&lt;=8,0,IF(L43&lt;=16,(L43-9)*0.425,IF(L43&lt;=24,(L43-17)*0.425,IF(L43&lt;=32,(L43-25)*0.425,0)))),0)+IF(F43="EČ",IF(L43=1,204,IF(L43=2,156.24,IF(L43=3,123.84,IF(L43=4,72,IF(L43=5,66,IF(L43=6,60,IF(L43=7,54,IF(L43=8,48,0))))))))+IF(L43&lt;=8,0,IF(L43&lt;=16,40,IF(L43&lt;=24,25,0)))-IF(L43&lt;=8,0,IF(L43&lt;=16,(L43-9)*1.02,IF(L43&lt;=24,(L43-17)*1.02,0))),0)+IF(F43="EČneol",IF(L43=1,68,IF(L43=2,51.69,IF(L43=3,40.61,IF(L43=4,13,IF(L43=5,12,IF(L43=6,11,IF(L43=7,10,IF(L43=8,9,0)))))))))+IF(F43="EŽ",IF(L43=1,68,IF(L43=2,47.6,IF(L43=3,36,IF(L43=4,18,IF(L43=5,16.5,IF(L43=6,15,IF(L43=7,13.5,IF(L43=8,12,0))))))))+IF(L43&lt;=8,0,IF(L43&lt;=16,10,IF(L43&lt;=24,6,0)))-IF(L43&lt;=8,0,IF(L43&lt;=16,(L43-9)*0.34,IF(L43&lt;=24,(L43-17)*0.34,0))),0)+IF(F43="PT",IF(L43=1,68,IF(L43=2,52.08,IF(L43=3,41.28,IF(L43=4,24,IF(L43=5,22,IF(L43=6,20,IF(L43=7,18,IF(L43=8,16,0))))))))+IF(L43&lt;=8,0,IF(L43&lt;=16,13,IF(L43&lt;=24,9,IF(L43&lt;=32,4,0))))-IF(L43&lt;=8,0,IF(L43&lt;=16,(L43-9)*0.34,IF(L43&lt;=24,(L43-17)*0.34,IF(L43&lt;=32,(L43-25)*0.34,0)))),0)+IF(F43="JOŽ",IF(L43=1,85,IF(L43=2,59.5,IF(L43=3,45,IF(L43=4,32.5,IF(L43=5,30,IF(L43=6,27.5,IF(L43=7,25,IF(L43=8,22.5,0))))))))+IF(L43&lt;=8,0,IF(L43&lt;=16,19,IF(L43&lt;=24,13,0)))-IF(L43&lt;=8,0,IF(L43&lt;=16,(L43-9)*0.425,IF(L43&lt;=24,(L43-17)*0.425,0))),0)+IF(F43="JPČ",IF(L43=1,68,IF(L43=2,47.6,IF(L43=3,36,IF(L43=4,26,IF(L43=5,24,IF(L43=6,22,IF(L43=7,20,IF(L43=8,18,0))))))))+IF(L43&lt;=8,0,IF(L43&lt;=16,13,IF(L43&lt;=24,9,0)))-IF(L43&lt;=8,0,IF(L43&lt;=16,(L43-9)*0.34,IF(L43&lt;=24,(L43-17)*0.34,0))),0)+IF(F43="JEČ",IF(L43=1,34,IF(L43=2,26.04,IF(L43=3,20.6,IF(L43=4,12,IF(L43=5,11,IF(L43=6,10,IF(L43=7,9,IF(L43=8,8,0))))))))+IF(L43&lt;=8,0,IF(L43&lt;=16,6,0))-IF(L43&lt;=8,0,IF(L43&lt;=16,(L43-9)*0.17,0)),0)+IF(F43="JEOF",IF(L43=1,34,IF(L43=2,26.04,IF(L43=3,20.6,IF(L43=4,12,IF(L43=5,11,IF(L43=6,10,IF(L43=7,9,IF(L43=8,8,0))))))))+IF(L43&lt;=8,0,IF(L43&lt;=16,6,0))-IF(L43&lt;=8,0,IF(L43&lt;=16,(L43-9)*0.17,0)),0)+IF(F43="JnPČ",IF(L43=1,51,IF(L43=2,35.7,IF(L43=3,27,IF(L43=4,19.5,IF(L43=5,18,IF(L43=6,16.5,IF(L43=7,15,IF(L43=8,13.5,0))))))))+IF(L43&lt;=8,0,IF(L43&lt;=16,10,0))-IF(L43&lt;=8,0,IF(L43&lt;=16,(L43-9)*0.255,0)),0)+IF(F43="JnEČ",IF(L43=1,25.5,IF(L43=2,19.53,IF(L43=3,15.48,IF(L43=4,9,IF(L43=5,8.25,IF(L43=6,7.5,IF(L43=7,6.75,IF(L43=8,6,0))))))))+IF(L43&lt;=8,0,IF(L43&lt;=16,5,0))-IF(L43&lt;=8,0,IF(L43&lt;=16,(L43-9)*0.1275,0)),0)+IF(F43="JčPČ",IF(L43=1,21.25,IF(L43=2,14.5,IF(L43=3,11.5,IF(L43=4,7,IF(L43=5,6.5,IF(L43=6,6,IF(L43=7,5.5,IF(L43=8,5,0))))))))+IF(L43&lt;=8,0,IF(L43&lt;=16,4,0))-IF(L43&lt;=8,0,IF(L43&lt;=16,(L43-9)*0.10625,0)),0)+IF(F43="JčEČ",IF(L43=1,17,IF(L43=2,13.02,IF(L43=3,10.32,IF(L43=4,6,IF(L43=5,5.5,IF(L43=6,5,IF(L43=7,4.5,IF(L43=8,4,0))))))))+IF(L43&lt;=8,0,IF(L43&lt;=16,3,0))-IF(L43&lt;=8,0,IF(L43&lt;=16,(L43-9)*0.085,0)),0)+IF(F43="NEAK",IF(L43=1,11.48,IF(L43=2,8.79,IF(L43=3,6.97,IF(L43=4,4.05,IF(L43=5,3.71,IF(L43=6,3.38,IF(L43=7,3.04,IF(L43=8,2.7,0))))))))+IF(L43&lt;=8,0,IF(L43&lt;=16,2,IF(L43&lt;=24,1.3,0)))-IF(L43&lt;=8,0,IF(L43&lt;=16,(L43-9)*0.0574,IF(L43&lt;=24,(L43-17)*0.0574,0))),0))*IF(L43&lt;0,1,IF(OR(F43="PČ",F43="PŽ",F43="PT"),IF(J43&lt;32,J43/32,1),1))* IF(L43&lt;0,1,IF(OR(F43="EČ",F43="EŽ",F43="JOŽ",F43="JPČ",F43="NEAK"),IF(J43&lt;24,J43/24,1),1))*IF(L43&lt;0,1,IF(OR(F43="PČneol",F43="JEČ",F43="JEOF",F43="JnPČ",F43="JnEČ",F43="JčPČ",F43="JčEČ"),IF(J43&lt;16,J43/16,1),1))*IF(L43&lt;0,1,IF(F43="EČneol",IF(J43&lt;8,J43/8,1),1))</f>
        <v>0</v>
      </c>
      <c r="O43" s="9">
        <f t="shared" ref="O43:O47" si="14">IF(F43="OŽ",N43,IF(H43="Ne",IF(J43*0.3&lt;J43-L43,N43,0),IF(J43*0.1&lt;J43-L43,N43,0)))</f>
        <v>0</v>
      </c>
      <c r="P43" s="4">
        <f t="shared" si="10"/>
        <v>0</v>
      </c>
      <c r="Q43" s="11">
        <f t="shared" si="11"/>
        <v>0</v>
      </c>
      <c r="R43" s="10">
        <f t="shared" ref="R43:R47" si="15">IF(Q43&lt;=30,O43+P43,O43+O43*0.3)*IF(G43=1,0.4,IF(G43=2,0.75,IF(G43="1 (kas 4 m. 1 k. nerengiamos)",0.52,1)))*IF(D43="olimpinė",1,IF(M43="Ne",0.5,1))*IF(OR(A$5="Lietuvos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federacija"),IF(OR(J43&lt;8,K43&lt;16),0,1),1)*E43*IF(I43&lt;=1,1,1/I43)*IF(OR(A$5="Lietuvos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" spans="1:18" s="8" customFormat="1">
      <c r="A44" s="73">
        <v>7</v>
      </c>
      <c r="B44" s="73"/>
      <c r="C44" s="1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3">
        <f t="shared" si="13"/>
        <v>0</v>
      </c>
      <c r="O44" s="9">
        <f t="shared" si="14"/>
        <v>0</v>
      </c>
      <c r="P44" s="4">
        <f t="shared" si="10"/>
        <v>0</v>
      </c>
      <c r="Q44" s="11">
        <f t="shared" si="11"/>
        <v>0</v>
      </c>
      <c r="R44" s="10">
        <f t="shared" si="15"/>
        <v>0</v>
      </c>
    </row>
    <row r="45" spans="1:18" s="8" customFormat="1">
      <c r="A45" s="73">
        <v>8</v>
      </c>
      <c r="B45" s="73"/>
      <c r="C45" s="12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3">
        <f t="shared" si="13"/>
        <v>0</v>
      </c>
      <c r="O45" s="9">
        <f t="shared" si="14"/>
        <v>0</v>
      </c>
      <c r="P45" s="4">
        <f t="shared" si="10"/>
        <v>0</v>
      </c>
      <c r="Q45" s="11">
        <f t="shared" si="11"/>
        <v>0</v>
      </c>
      <c r="R45" s="10">
        <f t="shared" si="15"/>
        <v>0</v>
      </c>
    </row>
    <row r="46" spans="1:18" s="8" customFormat="1">
      <c r="A46" s="73">
        <v>9</v>
      </c>
      <c r="B46" s="73"/>
      <c r="C46" s="1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3">
        <f t="shared" si="13"/>
        <v>0</v>
      </c>
      <c r="O46" s="9">
        <f t="shared" si="14"/>
        <v>0</v>
      </c>
      <c r="P46" s="4">
        <f t="shared" si="10"/>
        <v>0</v>
      </c>
      <c r="Q46" s="11">
        <f t="shared" si="11"/>
        <v>0</v>
      </c>
      <c r="R46" s="10">
        <f t="shared" si="15"/>
        <v>0</v>
      </c>
    </row>
    <row r="47" spans="1:18" s="8" customFormat="1">
      <c r="A47" s="73">
        <v>10</v>
      </c>
      <c r="B47" s="73"/>
      <c r="C47" s="1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3">
        <f t="shared" si="13"/>
        <v>0</v>
      </c>
      <c r="O47" s="9">
        <f t="shared" si="14"/>
        <v>0</v>
      </c>
      <c r="P47" s="4">
        <f t="shared" si="10"/>
        <v>0</v>
      </c>
      <c r="Q47" s="11">
        <f t="shared" si="11"/>
        <v>0</v>
      </c>
      <c r="R47" s="10">
        <f t="shared" si="15"/>
        <v>0</v>
      </c>
    </row>
    <row r="48" spans="1:18" s="8" customFormat="1" ht="15.75" customHeight="1">
      <c r="A48" s="87" t="s">
        <v>36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9"/>
      <c r="R48" s="10">
        <f>SUM(R38:R47)</f>
        <v>135.05688000000004</v>
      </c>
    </row>
    <row r="49" spans="1:18" s="8" customFormat="1" ht="15.75" customHeight="1">
      <c r="A49" s="14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7"/>
    </row>
    <row r="50" spans="1:18" s="8" customFormat="1" ht="15.75" customHeight="1">
      <c r="A50" s="24" t="s">
        <v>37</v>
      </c>
      <c r="B50" s="2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</row>
    <row r="51" spans="1:18" s="8" customFormat="1" ht="15.75" customHeight="1">
      <c r="A51" s="49" t="s">
        <v>49</v>
      </c>
      <c r="B51" s="49"/>
      <c r="C51" s="49"/>
      <c r="D51" s="49"/>
      <c r="E51" s="49"/>
      <c r="F51" s="49"/>
      <c r="G51" s="49"/>
      <c r="H51" s="49"/>
      <c r="I51" s="49"/>
      <c r="J51" s="56"/>
      <c r="K51" s="56"/>
      <c r="L51" s="56"/>
      <c r="M51" s="56"/>
      <c r="N51" s="56"/>
      <c r="O51" s="56"/>
      <c r="P51" s="56"/>
      <c r="Q51" s="56"/>
      <c r="R51" s="57"/>
    </row>
    <row r="52" spans="1:18" s="8" customFormat="1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56"/>
      <c r="K52" s="56"/>
      <c r="L52" s="56"/>
      <c r="M52" s="56"/>
      <c r="N52" s="56"/>
      <c r="O52" s="56"/>
      <c r="P52" s="56"/>
      <c r="Q52" s="56"/>
      <c r="R52" s="57"/>
    </row>
    <row r="53" spans="1:18" s="8" customFormat="1" ht="5.45" customHeight="1">
      <c r="A53" s="14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7"/>
    </row>
    <row r="54" spans="1:18" s="8" customFormat="1" ht="15.75" customHeight="1">
      <c r="A54" s="76" t="s">
        <v>50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68"/>
    </row>
    <row r="55" spans="1:18" s="8" customFormat="1" ht="15.75" customHeight="1">
      <c r="A55" s="78" t="s">
        <v>27</v>
      </c>
      <c r="B55" s="79"/>
      <c r="C55" s="7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68"/>
    </row>
    <row r="56" spans="1:18" s="8" customFormat="1" ht="15" customHeight="1">
      <c r="A56" s="85" t="s">
        <v>51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68"/>
    </row>
    <row r="57" spans="1:18" s="8" customFormat="1">
      <c r="A57" s="73">
        <v>1</v>
      </c>
      <c r="B57" s="73" t="s">
        <v>42</v>
      </c>
      <c r="C57" s="12" t="s">
        <v>30</v>
      </c>
      <c r="D57" s="73" t="s">
        <v>31</v>
      </c>
      <c r="E57" s="73">
        <v>1</v>
      </c>
      <c r="F57" s="73" t="s">
        <v>41</v>
      </c>
      <c r="G57" s="73">
        <v>1</v>
      </c>
      <c r="H57" s="73" t="s">
        <v>33</v>
      </c>
      <c r="I57" s="73"/>
      <c r="J57" s="73">
        <v>99</v>
      </c>
      <c r="K57" s="73">
        <v>25</v>
      </c>
      <c r="L57" s="73">
        <v>8</v>
      </c>
      <c r="M57" s="73"/>
      <c r="N57" s="3">
        <f t="shared" ref="N57" si="16">(IF(F57="OŽ",IF(L57=1,550.8,IF(L57=2,426.38,IF(L57=3,342.14,IF(L57=4,181.44,IF(L57=5,168.48,IF(L57=6,155.52,IF(L57=7,148.5,IF(L57=8,144,0))))))))+IF(L57&lt;=8,0,IF(L57&lt;=16,137.7,IF(L57&lt;=24,108,IF(L57&lt;=32,80.1,IF(L57&lt;=36,52.2,0)))))-IF(L57&lt;=8,0,IF(L57&lt;=16,(L57-9)*2.754,IF(L57&lt;=24,(L57-17)* 2.754,IF(L57&lt;=32,(L57-25)* 2.754,IF(L57&lt;=36,(L57-33)*2.754,0))))),0)+IF(F57="PČ",IF(L57=1,449,IF(L57=2,314.6,IF(L57=3,238,IF(L57=4,172,IF(L57=5,159,IF(L57=6,145,IF(L57=7,132,IF(L57=8,119,0))))))))+IF(L57&lt;=8,0,IF(L57&lt;=16,88,IF(L57&lt;=24,55,IF(L57&lt;=32,22,0))))-IF(L57&lt;=8,0,IF(L57&lt;=16,(L57-9)*2.245,IF(L57&lt;=24,(L57-17)*2.245,IF(L57&lt;=32,(L57-25)*2.245,0)))),0)+IF(F57="PČneol",IF(L57=1,85,IF(L57=2,64.61,IF(L57=3,50.76,IF(L57=4,16.25,IF(L57=5,15,IF(L57=6,13.75,IF(L57=7,12.5,IF(L57=8,11.25,0))))))))+IF(L57&lt;=8,0,IF(L57&lt;=16,9,0))-IF(L57&lt;=8,0,IF(L57&lt;=16,(L57-9)*0.425,0)),0)+IF(F57="PŽ",IF(L57=1,85,IF(L57=2,59.5,IF(L57=3,45,IF(L57=4,32.5,IF(L57=5,30,IF(L57=6,27.5,IF(L57=7,25,IF(L57=8,22.5,0))))))))+IF(L57&lt;=8,0,IF(L57&lt;=16,19,IF(L57&lt;=24,13,IF(L57&lt;=32,8,0))))-IF(L57&lt;=8,0,IF(L57&lt;=16,(L57-9)*0.425,IF(L57&lt;=24,(L57-17)*0.425,IF(L57&lt;=32,(L57-25)*0.425,0)))),0)+IF(F57="EČ",IF(L57=1,204,IF(L57=2,156.24,IF(L57=3,123.84,IF(L57=4,72,IF(L57=5,66,IF(L57=6,60,IF(L57=7,54,IF(L57=8,48,0))))))))+IF(L57&lt;=8,0,IF(L57&lt;=16,40,IF(L57&lt;=24,25,0)))-IF(L57&lt;=8,0,IF(L57&lt;=16,(L57-9)*1.02,IF(L57&lt;=24,(L57-17)*1.02,0))),0)+IF(F57="EČneol",IF(L57=1,68,IF(L57=2,51.69,IF(L57=3,40.61,IF(L57=4,13,IF(L57=5,12,IF(L57=6,11,IF(L57=7,10,IF(L57=8,9,0)))))))))+IF(F57="EŽ",IF(L57=1,68,IF(L57=2,47.6,IF(L57=3,36,IF(L57=4,18,IF(L57=5,16.5,IF(L57=6,15,IF(L57=7,13.5,IF(L57=8,12,0))))))))+IF(L57&lt;=8,0,IF(L57&lt;=16,10,IF(L57&lt;=24,6,0)))-IF(L57&lt;=8,0,IF(L57&lt;=16,(L57-9)*0.34,IF(L57&lt;=24,(L57-17)*0.34,0))),0)+IF(F57="PT",IF(L57=1,68,IF(L57=2,52.08,IF(L57=3,41.28,IF(L57=4,24,IF(L57=5,22,IF(L57=6,20,IF(L57=7,18,IF(L57=8,16,0))))))))+IF(L57&lt;=8,0,IF(L57&lt;=16,13,IF(L57&lt;=24,9,IF(L57&lt;=32,4,0))))-IF(L57&lt;=8,0,IF(L57&lt;=16,(L57-9)*0.34,IF(L57&lt;=24,(L57-17)*0.34,IF(L57&lt;=32,(L57-25)*0.34,0)))),0)+IF(F57="JOŽ",IF(L57=1,85,IF(L57=2,59.5,IF(L57=3,45,IF(L57=4,32.5,IF(L57=5,30,IF(L57=6,27.5,IF(L57=7,25,IF(L57=8,22.5,0))))))))+IF(L57&lt;=8,0,IF(L57&lt;=16,19,IF(L57&lt;=24,13,0)))-IF(L57&lt;=8,0,IF(L57&lt;=16,(L57-9)*0.425,IF(L57&lt;=24,(L57-17)*0.425,0))),0)+IF(F57="JPČ",IF(L57=1,68,IF(L57=2,47.6,IF(L57=3,36,IF(L57=4,26,IF(L57=5,24,IF(L57=6,22,IF(L57=7,20,IF(L57=8,18,0))))))))+IF(L57&lt;=8,0,IF(L57&lt;=16,13,IF(L57&lt;=24,9,0)))-IF(L57&lt;=8,0,IF(L57&lt;=16,(L57-9)*0.34,IF(L57&lt;=24,(L57-17)*0.34,0))),0)+IF(F57="JEČ",IF(L57=1,34,IF(L57=2,26.04,IF(L57=3,20.6,IF(L57=4,12,IF(L57=5,11,IF(L57=6,10,IF(L57=7,9,IF(L57=8,8,0))))))))+IF(L57&lt;=8,0,IF(L57&lt;=16,6,0))-IF(L57&lt;=8,0,IF(L57&lt;=16,(L57-9)*0.17,0)),0)+IF(F57="JEOF",IF(L57=1,34,IF(L57=2,26.04,IF(L57=3,20.6,IF(L57=4,12,IF(L57=5,11,IF(L57=6,10,IF(L57=7,9,IF(L57=8,8,0))))))))+IF(L57&lt;=8,0,IF(L57&lt;=16,6,0))-IF(L57&lt;=8,0,IF(L57&lt;=16,(L57-9)*0.17,0)),0)+IF(F57="JnPČ",IF(L57=1,51,IF(L57=2,35.7,IF(L57=3,27,IF(L57=4,19.5,IF(L57=5,18,IF(L57=6,16.5,IF(L57=7,15,IF(L57=8,13.5,0))))))))+IF(L57&lt;=8,0,IF(L57&lt;=16,10,0))-IF(L57&lt;=8,0,IF(L57&lt;=16,(L57-9)*0.255,0)),0)+IF(F57="JnEČ",IF(L57=1,25.5,IF(L57=2,19.53,IF(L57=3,15.48,IF(L57=4,9,IF(L57=5,8.25,IF(L57=6,7.5,IF(L57=7,6.75,IF(L57=8,6,0))))))))+IF(L57&lt;=8,0,IF(L57&lt;=16,5,0))-IF(L57&lt;=8,0,IF(L57&lt;=16,(L57-9)*0.1275,0)),0)+IF(F57="JčPČ",IF(L57=1,21.25,IF(L57=2,14.5,IF(L57=3,11.5,IF(L57=4,7,IF(L57=5,6.5,IF(L57=6,6,IF(L57=7,5.5,IF(L57=8,5,0))))))))+IF(L57&lt;=8,0,IF(L57&lt;=16,4,0))-IF(L57&lt;=8,0,IF(L57&lt;=16,(L57-9)*0.10625,0)),0)+IF(F57="JčEČ",IF(L57=1,17,IF(L57=2,13.02,IF(L57=3,10.32,IF(L57=4,6,IF(L57=5,5.5,IF(L57=6,5,IF(L57=7,4.5,IF(L57=8,4,0))))))))+IF(L57&lt;=8,0,IF(L57&lt;=16,3,0))-IF(L57&lt;=8,0,IF(L57&lt;=16,(L57-9)*0.085,0)),0)+IF(F57="NEAK",IF(L57=1,11.48,IF(L57=2,8.79,IF(L57=3,6.97,IF(L57=4,4.05,IF(L57=5,3.71,IF(L57=6,3.38,IF(L57=7,3.04,IF(L57=8,2.7,0))))))))+IF(L57&lt;=8,0,IF(L57&lt;=16,2,IF(L57&lt;=24,1.3,0)))-IF(L57&lt;=8,0,IF(L57&lt;=16,(L57-9)*0.0574,IF(L57&lt;=24,(L57-17)*0.0574,0))),0))*IF(L57&lt;4,1,IF(OR(F57="PČ",F57="PŽ",F57="PT"),IF(J57&lt;32,J57/32,1),1))* IF(L57&lt;4,1,IF(OR(F57="EČ",F57="EŽ",F57="JOŽ",F57="JPČ",F57="NEAK"),IF(J57&lt;24,J57/24,1),1))*IF(L57&lt;4,1,IF(OR(F57="PČneol",F57="JEČ",F57="JEOF",F57="JnPČ",F57="JnEČ",F57="JčPČ",F57="JčEČ"),IF(J57&lt;16,J57/16,1),1))*IF(L57&lt;4,1,IF(F57="EČneol",IF(J57&lt;8,J57/8,1),1))</f>
        <v>119</v>
      </c>
      <c r="O57" s="9">
        <f t="shared" ref="O57" si="17">IF(F57="OŽ",N57,IF(H57="Ne",IF(J57*0.3&lt;=J57-L57,N57,0),IF(J57*0.1&lt;=J57-L57,N57,0)))</f>
        <v>119</v>
      </c>
      <c r="P57" s="4">
        <f t="shared" ref="P57:P66" si="18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32.328000000000003</v>
      </c>
      <c r="Q57" s="11">
        <f t="shared" ref="Q57:Q66" si="19">IF(ISERROR(P57*100/N57),0,(P57*100/N57))</f>
        <v>27.166386554621852</v>
      </c>
      <c r="R57" s="10">
        <f t="shared" ref="R57" si="20">IF(Q57&lt;=30,O57+P57,O57+O57*0.3)*IF(G57=1,0.4,IF(G57=2,0.75,IF(G57="1 (kas 4 m. 1 k. nerengiamos)",0.52,1)))*IF(D57="olimpinė",1,IF(M57="Ne",0.5,1))*IF(D57="olimpinė",1,IF(J57&lt;8,0,1))*E57*IF(D57="olimpinė",1,IF(K57&lt;16,0,1))*IF(I57&lt;=1,1,1/I57)*IF(OR(A$5="Lietuvos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63.557760000000009</v>
      </c>
    </row>
    <row r="58" spans="1:18" s="8" customFormat="1">
      <c r="A58" s="73">
        <v>2</v>
      </c>
      <c r="B58" s="73"/>
      <c r="C58" s="12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3">
        <f t="shared" ref="N58:N66" si="21">(IF(F58="OŽ",IF(L58=1,550.8,IF(L58=2,426.38,IF(L58=3,342.14,IF(L58=4,181.44,IF(L58=5,168.48,IF(L58=6,155.52,IF(L58=7,148.5,IF(L58=8,144,0))))))))+IF(L58&lt;=8,0,IF(L58&lt;=16,137.7,IF(L58&lt;=24,108,IF(L58&lt;=32,80.1,IF(L58&lt;=36,52.2,0)))))-IF(L58&lt;=8,0,IF(L58&lt;=16,(L58-9)*2.754,IF(L58&lt;=24,(L58-17)* 2.754,IF(L58&lt;=32,(L58-25)* 2.754,IF(L58&lt;=36,(L58-33)*2.754,0))))),0)+IF(F58="PČ",IF(L58=1,449,IF(L58=2,314.6,IF(L58=3,238,IF(L58=4,172,IF(L58=5,159,IF(L58=6,145,IF(L58=7,132,IF(L58=8,119,0))))))))+IF(L58&lt;=8,0,IF(L58&lt;=16,88,IF(L58&lt;=24,55,IF(L58&lt;=32,22,0))))-IF(L58&lt;=8,0,IF(L58&lt;=16,(L58-9)*2.245,IF(L58&lt;=24,(L58-17)*2.245,IF(L58&lt;=32,(L58-25)*2.245,0)))),0)+IF(F58="PČneol",IF(L58=1,85,IF(L58=2,64.61,IF(L58=3,50.76,IF(L58=4,16.25,IF(L58=5,15,IF(L58=6,13.75,IF(L58=7,12.5,IF(L58=8,11.25,0))))))))+IF(L58&lt;=8,0,IF(L58&lt;=16,9,0))-IF(L58&lt;=8,0,IF(L58&lt;=16,(L58-9)*0.425,0)),0)+IF(F58="PŽ",IF(L58=1,85,IF(L58=2,59.5,IF(L58=3,45,IF(L58=4,32.5,IF(L58=5,30,IF(L58=6,27.5,IF(L58=7,25,IF(L58=8,22.5,0))))))))+IF(L58&lt;=8,0,IF(L58&lt;=16,19,IF(L58&lt;=24,13,IF(L58&lt;=32,8,0))))-IF(L58&lt;=8,0,IF(L58&lt;=16,(L58-9)*0.425,IF(L58&lt;=24,(L58-17)*0.425,IF(L58&lt;=32,(L58-25)*0.425,0)))),0)+IF(F58="EČ",IF(L58=1,204,IF(L58=2,156.24,IF(L58=3,123.84,IF(L58=4,72,IF(L58=5,66,IF(L58=6,60,IF(L58=7,54,IF(L58=8,48,0))))))))+IF(L58&lt;=8,0,IF(L58&lt;=16,40,IF(L58&lt;=24,25,0)))-IF(L58&lt;=8,0,IF(L58&lt;=16,(L58-9)*1.02,IF(L58&lt;=24,(L58-17)*1.02,0))),0)+IF(F58="EČneol",IF(L58=1,68,IF(L58=2,51.69,IF(L58=3,40.61,IF(L58=4,13,IF(L58=5,12,IF(L58=6,11,IF(L58=7,10,IF(L58=8,9,0)))))))))+IF(F58="EŽ",IF(L58=1,68,IF(L58=2,47.6,IF(L58=3,36,IF(L58=4,18,IF(L58=5,16.5,IF(L58=6,15,IF(L58=7,13.5,IF(L58=8,12,0))))))))+IF(L58&lt;=8,0,IF(L58&lt;=16,10,IF(L58&lt;=24,6,0)))-IF(L58&lt;=8,0,IF(L58&lt;=16,(L58-9)*0.34,IF(L58&lt;=24,(L58-17)*0.34,0))),0)+IF(F58="PT",IF(L58=1,68,IF(L58=2,52.08,IF(L58=3,41.28,IF(L58=4,24,IF(L58=5,22,IF(L58=6,20,IF(L58=7,18,IF(L58=8,16,0))))))))+IF(L58&lt;=8,0,IF(L58&lt;=16,13,IF(L58&lt;=24,9,IF(L58&lt;=32,4,0))))-IF(L58&lt;=8,0,IF(L58&lt;=16,(L58-9)*0.34,IF(L58&lt;=24,(L58-17)*0.34,IF(L58&lt;=32,(L58-25)*0.34,0)))),0)+IF(F58="JOŽ",IF(L58=1,85,IF(L58=2,59.5,IF(L58=3,45,IF(L58=4,32.5,IF(L58=5,30,IF(L58=6,27.5,IF(L58=7,25,IF(L58=8,22.5,0))))))))+IF(L58&lt;=8,0,IF(L58&lt;=16,19,IF(L58&lt;=24,13,0)))-IF(L58&lt;=8,0,IF(L58&lt;=16,(L58-9)*0.425,IF(L58&lt;=24,(L58-17)*0.425,0))),0)+IF(F58="JPČ",IF(L58=1,68,IF(L58=2,47.6,IF(L58=3,36,IF(L58=4,26,IF(L58=5,24,IF(L58=6,22,IF(L58=7,20,IF(L58=8,18,0))))))))+IF(L58&lt;=8,0,IF(L58&lt;=16,13,IF(L58&lt;=24,9,0)))-IF(L58&lt;=8,0,IF(L58&lt;=16,(L58-9)*0.34,IF(L58&lt;=24,(L58-17)*0.34,0))),0)+IF(F58="JEČ",IF(L58=1,34,IF(L58=2,26.04,IF(L58=3,20.6,IF(L58=4,12,IF(L58=5,11,IF(L58=6,10,IF(L58=7,9,IF(L58=8,8,0))))))))+IF(L58&lt;=8,0,IF(L58&lt;=16,6,0))-IF(L58&lt;=8,0,IF(L58&lt;=16,(L58-9)*0.17,0)),0)+IF(F58="JEOF",IF(L58=1,34,IF(L58=2,26.04,IF(L58=3,20.6,IF(L58=4,12,IF(L58=5,11,IF(L58=6,10,IF(L58=7,9,IF(L58=8,8,0))))))))+IF(L58&lt;=8,0,IF(L58&lt;=16,6,0))-IF(L58&lt;=8,0,IF(L58&lt;=16,(L58-9)*0.17,0)),0)+IF(F58="JnPČ",IF(L58=1,51,IF(L58=2,35.7,IF(L58=3,27,IF(L58=4,19.5,IF(L58=5,18,IF(L58=6,16.5,IF(L58=7,15,IF(L58=8,13.5,0))))))))+IF(L58&lt;=8,0,IF(L58&lt;=16,10,0))-IF(L58&lt;=8,0,IF(L58&lt;=16,(L58-9)*0.255,0)),0)+IF(F58="JnEČ",IF(L58=1,25.5,IF(L58=2,19.53,IF(L58=3,15.48,IF(L58=4,9,IF(L58=5,8.25,IF(L58=6,7.5,IF(L58=7,6.75,IF(L58=8,6,0))))))))+IF(L58&lt;=8,0,IF(L58&lt;=16,5,0))-IF(L58&lt;=8,0,IF(L58&lt;=16,(L58-9)*0.1275,0)),0)+IF(F58="JčPČ",IF(L58=1,21.25,IF(L58=2,14.5,IF(L58=3,11.5,IF(L58=4,7,IF(L58=5,6.5,IF(L58=6,6,IF(L58=7,5.5,IF(L58=8,5,0))))))))+IF(L58&lt;=8,0,IF(L58&lt;=16,4,0))-IF(L58&lt;=8,0,IF(L58&lt;=16,(L58-9)*0.10625,0)),0)+IF(F58="JčEČ",IF(L58=1,17,IF(L58=2,13.02,IF(L58=3,10.32,IF(L58=4,6,IF(L58=5,5.5,IF(L58=6,5,IF(L58=7,4.5,IF(L58=8,4,0))))))))+IF(L58&lt;=8,0,IF(L58&lt;=16,3,0))-IF(L58&lt;=8,0,IF(L58&lt;=16,(L58-9)*0.085,0)),0)+IF(F58="NEAK",IF(L58=1,11.48,IF(L58=2,8.79,IF(L58=3,6.97,IF(L58=4,4.05,IF(L58=5,3.71,IF(L58=6,3.38,IF(L58=7,3.04,IF(L58=8,2.7,0))))))))+IF(L58&lt;=8,0,IF(L58&lt;=16,2,IF(L58&lt;=24,1.3,0)))-IF(L58&lt;=8,0,IF(L58&lt;=16,(L58-9)*0.0574,IF(L58&lt;=24,(L58-17)*0.0574,0))),0))*IF(L58&lt;0,1,IF(OR(F58="PČ",F58="PŽ",F58="PT"),IF(J58&lt;32,J58/32,1),1))* IF(L58&lt;0,1,IF(OR(F58="EČ",F58="EŽ",F58="JOŽ",F58="JPČ",F58="NEAK"),IF(J58&lt;24,J58/24,1),1))*IF(L58&lt;0,1,IF(OR(F58="PČneol",F58="JEČ",F58="JEOF",F58="JnPČ",F58="JnEČ",F58="JčPČ",F58="JčEČ"),IF(J58&lt;16,J58/16,1),1))*IF(L58&lt;0,1,IF(F58="EČneol",IF(J58&lt;8,J58/8,1),1))</f>
        <v>0</v>
      </c>
      <c r="O58" s="9">
        <f t="shared" ref="O58:O66" si="22">IF(F58="OŽ",N58,IF(H58="Ne",IF(J58*0.3&lt;J58-L58,N58,0),IF(J58*0.1&lt;J58-L58,N58,0)))</f>
        <v>0</v>
      </c>
      <c r="P58" s="4">
        <f t="shared" si="18"/>
        <v>0</v>
      </c>
      <c r="Q58" s="11">
        <f t="shared" si="19"/>
        <v>0</v>
      </c>
      <c r="R58" s="10">
        <f t="shared" ref="R58:R66" si="23">IF(Q58&lt;=30,O58+P58,O58+O58*0.3)*IF(G58=1,0.4,IF(G58=2,0.75,IF(G58="1 (kas 4 m. 1 k. nerengiamos)",0.52,1)))*IF(D58="olimpinė",1,IF(M58="Ne",0.5,1))*IF(OR(A$5="Lietuvos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federacija"),IF(OR(J58&lt;8,K58&lt;16),0,1),1)*E58*IF(I58&lt;=1,1,1/I58)*IF(OR(A$5="Lietuvos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9" spans="1:18" s="8" customFormat="1">
      <c r="A59" s="73">
        <v>3</v>
      </c>
      <c r="B59" s="73"/>
      <c r="C59" s="12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3">
        <f t="shared" si="21"/>
        <v>0</v>
      </c>
      <c r="O59" s="9">
        <f t="shared" si="22"/>
        <v>0</v>
      </c>
      <c r="P59" s="4">
        <f t="shared" si="18"/>
        <v>0</v>
      </c>
      <c r="Q59" s="11">
        <f t="shared" si="19"/>
        <v>0</v>
      </c>
      <c r="R59" s="10">
        <f t="shared" si="23"/>
        <v>0</v>
      </c>
    </row>
    <row r="60" spans="1:18" s="8" customFormat="1">
      <c r="A60" s="73">
        <v>4</v>
      </c>
      <c r="B60" s="73"/>
      <c r="C60" s="12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3">
        <f t="shared" si="21"/>
        <v>0</v>
      </c>
      <c r="O60" s="9">
        <f t="shared" si="22"/>
        <v>0</v>
      </c>
      <c r="P60" s="4">
        <f t="shared" si="18"/>
        <v>0</v>
      </c>
      <c r="Q60" s="11">
        <f t="shared" si="19"/>
        <v>0</v>
      </c>
      <c r="R60" s="10">
        <f t="shared" si="23"/>
        <v>0</v>
      </c>
    </row>
    <row r="61" spans="1:18" s="8" customFormat="1">
      <c r="A61" s="73">
        <v>5</v>
      </c>
      <c r="B61" s="73"/>
      <c r="C61" s="1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3">
        <f t="shared" si="21"/>
        <v>0</v>
      </c>
      <c r="O61" s="9">
        <f t="shared" si="22"/>
        <v>0</v>
      </c>
      <c r="P61" s="4">
        <f t="shared" si="18"/>
        <v>0</v>
      </c>
      <c r="Q61" s="11">
        <f t="shared" si="19"/>
        <v>0</v>
      </c>
      <c r="R61" s="10">
        <f t="shared" si="23"/>
        <v>0</v>
      </c>
    </row>
    <row r="62" spans="1:18" s="8" customFormat="1">
      <c r="A62" s="73">
        <v>6</v>
      </c>
      <c r="B62" s="73"/>
      <c r="C62" s="1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3">
        <f t="shared" si="21"/>
        <v>0</v>
      </c>
      <c r="O62" s="9">
        <f t="shared" si="22"/>
        <v>0</v>
      </c>
      <c r="P62" s="4">
        <f t="shared" si="18"/>
        <v>0</v>
      </c>
      <c r="Q62" s="11">
        <f t="shared" si="19"/>
        <v>0</v>
      </c>
      <c r="R62" s="10">
        <f t="shared" si="23"/>
        <v>0</v>
      </c>
    </row>
    <row r="63" spans="1:18" s="8" customFormat="1">
      <c r="A63" s="73">
        <v>7</v>
      </c>
      <c r="B63" s="73"/>
      <c r="C63" s="12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3">
        <f t="shared" si="21"/>
        <v>0</v>
      </c>
      <c r="O63" s="9">
        <f t="shared" si="22"/>
        <v>0</v>
      </c>
      <c r="P63" s="4">
        <f t="shared" si="18"/>
        <v>0</v>
      </c>
      <c r="Q63" s="11">
        <f t="shared" si="19"/>
        <v>0</v>
      </c>
      <c r="R63" s="10">
        <f t="shared" si="23"/>
        <v>0</v>
      </c>
    </row>
    <row r="64" spans="1:18" s="8" customFormat="1">
      <c r="A64" s="73">
        <v>8</v>
      </c>
      <c r="B64" s="73"/>
      <c r="C64" s="1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3">
        <f t="shared" si="21"/>
        <v>0</v>
      </c>
      <c r="O64" s="9">
        <f t="shared" si="22"/>
        <v>0</v>
      </c>
      <c r="P64" s="4">
        <f t="shared" si="18"/>
        <v>0</v>
      </c>
      <c r="Q64" s="11">
        <f t="shared" si="19"/>
        <v>0</v>
      </c>
      <c r="R64" s="10">
        <f t="shared" si="23"/>
        <v>0</v>
      </c>
    </row>
    <row r="65" spans="1:18" s="8" customFormat="1">
      <c r="A65" s="73">
        <v>9</v>
      </c>
      <c r="B65" s="73"/>
      <c r="C65" s="12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3">
        <f t="shared" si="21"/>
        <v>0</v>
      </c>
      <c r="O65" s="9">
        <f t="shared" si="22"/>
        <v>0</v>
      </c>
      <c r="P65" s="4">
        <f t="shared" si="18"/>
        <v>0</v>
      </c>
      <c r="Q65" s="11">
        <f t="shared" si="19"/>
        <v>0</v>
      </c>
      <c r="R65" s="10">
        <f t="shared" si="23"/>
        <v>0</v>
      </c>
    </row>
    <row r="66" spans="1:18" s="8" customFormat="1">
      <c r="A66" s="73">
        <v>10</v>
      </c>
      <c r="B66" s="73"/>
      <c r="C66" s="12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3">
        <f t="shared" si="21"/>
        <v>0</v>
      </c>
      <c r="O66" s="9">
        <f t="shared" si="22"/>
        <v>0</v>
      </c>
      <c r="P66" s="4">
        <f t="shared" si="18"/>
        <v>0</v>
      </c>
      <c r="Q66" s="11">
        <f t="shared" si="19"/>
        <v>0</v>
      </c>
      <c r="R66" s="10">
        <f t="shared" si="23"/>
        <v>0</v>
      </c>
    </row>
    <row r="67" spans="1:18" s="8" customFormat="1" ht="15.75" customHeight="1">
      <c r="A67" s="82" t="s">
        <v>36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4"/>
      <c r="R67" s="10">
        <f>SUM(R57:R66)</f>
        <v>63.557760000000009</v>
      </c>
    </row>
    <row r="68" spans="1:18" s="8" customFormat="1" ht="15.75" customHeight="1">
      <c r="A68" s="24" t="s">
        <v>37</v>
      </c>
      <c r="B68" s="24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7"/>
    </row>
    <row r="69" spans="1:18" s="8" customFormat="1" ht="15.75" customHeight="1">
      <c r="A69" s="49" t="s">
        <v>49</v>
      </c>
      <c r="B69" s="49"/>
      <c r="C69" s="49"/>
      <c r="D69" s="49"/>
      <c r="E69" s="49"/>
      <c r="F69" s="49"/>
      <c r="G69" s="49"/>
      <c r="H69" s="49"/>
      <c r="I69" s="49"/>
      <c r="J69" s="56"/>
      <c r="K69" s="56"/>
      <c r="L69" s="56"/>
      <c r="M69" s="56"/>
      <c r="N69" s="56"/>
      <c r="O69" s="56"/>
      <c r="P69" s="56"/>
      <c r="Q69" s="56"/>
      <c r="R69" s="57"/>
    </row>
    <row r="70" spans="1:18" s="8" customFormat="1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56"/>
      <c r="K70" s="56"/>
      <c r="L70" s="56"/>
      <c r="M70" s="56"/>
      <c r="N70" s="56"/>
      <c r="O70" s="56"/>
      <c r="P70" s="56"/>
      <c r="Q70" s="56"/>
      <c r="R70" s="57"/>
    </row>
    <row r="71" spans="1:18" s="8" customFormat="1" ht="15" customHeight="1">
      <c r="A71" s="76" t="s">
        <v>52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68"/>
    </row>
    <row r="72" spans="1:18" s="8" customFormat="1" ht="18">
      <c r="A72" s="78" t="s">
        <v>27</v>
      </c>
      <c r="B72" s="79"/>
      <c r="C72" s="7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68"/>
    </row>
    <row r="73" spans="1:18" s="8" customFormat="1" ht="15" customHeight="1">
      <c r="A73" s="85" t="s">
        <v>53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68"/>
    </row>
    <row r="74" spans="1:18" s="8" customFormat="1">
      <c r="A74" s="73">
        <v>1</v>
      </c>
      <c r="B74" s="73" t="s">
        <v>34</v>
      </c>
      <c r="C74" s="12" t="s">
        <v>35</v>
      </c>
      <c r="D74" s="73" t="s">
        <v>31</v>
      </c>
      <c r="E74" s="73">
        <v>1</v>
      </c>
      <c r="F74" s="73" t="s">
        <v>54</v>
      </c>
      <c r="G74" s="73">
        <v>1</v>
      </c>
      <c r="H74" s="73" t="s">
        <v>33</v>
      </c>
      <c r="I74" s="73"/>
      <c r="J74" s="73">
        <v>91</v>
      </c>
      <c r="K74" s="73">
        <v>22</v>
      </c>
      <c r="L74" s="73">
        <v>18</v>
      </c>
      <c r="M74" s="73"/>
      <c r="N74" s="3">
        <f t="shared" ref="N74:N75" si="24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4,1,IF(OR(F74="PČ",F74="PŽ",F74="PT"),IF(J74&lt;32,J74/32,1),1))* IF(L74&lt;4,1,IF(OR(F74="EČ",F74="EŽ",F74="JOŽ",F74="JPČ",F74="NEAK"),IF(J74&lt;24,J74/24,1),1))*IF(L74&lt;4,1,IF(OR(F74="PČneol",F74="JEČ",F74="JEOF",F74="JnPČ",F74="JnEČ",F74="JčPČ",F74="JčEČ"),IF(J74&lt;16,J74/16,1),1))*IF(L74&lt;4,1,IF(F74="EČneol",IF(J74&lt;8,J74/8,1),1))</f>
        <v>23.98</v>
      </c>
      <c r="O74" s="9">
        <f t="shared" ref="O74:O75" si="25">IF(F74="OŽ",N74,IF(H74="Ne",IF(J74*0.3&lt;=J74-L74,N74,0),IF(J74*0.1&lt;=J74-L74,N74,0)))</f>
        <v>23.98</v>
      </c>
      <c r="P74" s="4">
        <f t="shared" ref="P74:P83" si="26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3.6719999999999997</v>
      </c>
      <c r="Q74" s="11">
        <f t="shared" ref="Q74:Q83" si="27">IF(ISERROR(P74*100/N74),0,(P74*100/N74))</f>
        <v>15.312760633861551</v>
      </c>
      <c r="R74" s="10">
        <f t="shared" ref="R74:R75" si="28">IF(Q74&lt;=30,O74+P74,O74+O74*0.3)*IF(G74=1,0.4,IF(G74=2,0.75,IF(G74="1 (kas 4 m. 1 k. nerengiamos)",0.52,1)))*IF(D74="olimpinė",1,IF(M74="Ne",0.5,1))*IF(D74="olimpinė",1,IF(J74&lt;8,0,1))*E74*IF(D74="olimpinė",1,IF(K74&lt;16,0,1))*IF(I74&lt;=1,1,1/I74)*IF(OR(A$5="Lietuvos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11.613840000000001</v>
      </c>
    </row>
    <row r="75" spans="1:18" s="8" customFormat="1">
      <c r="A75" s="73">
        <v>2</v>
      </c>
      <c r="B75" s="73" t="s">
        <v>42</v>
      </c>
      <c r="C75" s="12" t="s">
        <v>30</v>
      </c>
      <c r="D75" s="73" t="s">
        <v>31</v>
      </c>
      <c r="E75" s="73">
        <v>1</v>
      </c>
      <c r="F75" s="73" t="s">
        <v>54</v>
      </c>
      <c r="G75" s="73">
        <v>1</v>
      </c>
      <c r="H75" s="73" t="s">
        <v>33</v>
      </c>
      <c r="I75" s="73"/>
      <c r="J75" s="73">
        <v>82</v>
      </c>
      <c r="K75" s="73">
        <v>22</v>
      </c>
      <c r="L75" s="73">
        <v>9</v>
      </c>
      <c r="M75" s="73"/>
      <c r="N75" s="3">
        <f t="shared" si="24"/>
        <v>40</v>
      </c>
      <c r="O75" s="9">
        <f t="shared" si="25"/>
        <v>40</v>
      </c>
      <c r="P75" s="4">
        <f t="shared" si="26"/>
        <v>9.18</v>
      </c>
      <c r="Q75" s="11">
        <f t="shared" si="27"/>
        <v>22.95</v>
      </c>
      <c r="R75" s="10">
        <f t="shared" si="28"/>
        <v>20.6556</v>
      </c>
    </row>
    <row r="76" spans="1:18" s="8" customFormat="1">
      <c r="A76" s="73">
        <v>3</v>
      </c>
      <c r="B76" s="73"/>
      <c r="C76" s="12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3">
        <f t="shared" ref="N76:N83" si="29">(IF(F76="OŽ",IF(L76=1,550.8,IF(L76=2,426.38,IF(L76=3,342.14,IF(L76=4,181.44,IF(L76=5,168.48,IF(L76=6,155.52,IF(L76=7,148.5,IF(L76=8,144,0))))))))+IF(L76&lt;=8,0,IF(L76&lt;=16,137.7,IF(L76&lt;=24,108,IF(L76&lt;=32,80.1,IF(L76&lt;=36,52.2,0)))))-IF(L76&lt;=8,0,IF(L76&lt;=16,(L76-9)*2.754,IF(L76&lt;=24,(L76-17)* 2.754,IF(L76&lt;=32,(L76-25)* 2.754,IF(L76&lt;=36,(L76-33)*2.754,0))))),0)+IF(F76="PČ",IF(L76=1,449,IF(L76=2,314.6,IF(L76=3,238,IF(L76=4,172,IF(L76=5,159,IF(L76=6,145,IF(L76=7,132,IF(L76=8,119,0))))))))+IF(L76&lt;=8,0,IF(L76&lt;=16,88,IF(L76&lt;=24,55,IF(L76&lt;=32,22,0))))-IF(L76&lt;=8,0,IF(L76&lt;=16,(L76-9)*2.245,IF(L76&lt;=24,(L76-17)*2.245,IF(L76&lt;=32,(L76-25)*2.245,0)))),0)+IF(F76="PČneol",IF(L76=1,85,IF(L76=2,64.61,IF(L76=3,50.76,IF(L76=4,16.25,IF(L76=5,15,IF(L76=6,13.75,IF(L76=7,12.5,IF(L76=8,11.25,0))))))))+IF(L76&lt;=8,0,IF(L76&lt;=16,9,0))-IF(L76&lt;=8,0,IF(L76&lt;=16,(L76-9)*0.425,0)),0)+IF(F76="PŽ",IF(L76=1,85,IF(L76=2,59.5,IF(L76=3,45,IF(L76=4,32.5,IF(L76=5,30,IF(L76=6,27.5,IF(L76=7,25,IF(L76=8,22.5,0))))))))+IF(L76&lt;=8,0,IF(L76&lt;=16,19,IF(L76&lt;=24,13,IF(L76&lt;=32,8,0))))-IF(L76&lt;=8,0,IF(L76&lt;=16,(L76-9)*0.425,IF(L76&lt;=24,(L76-17)*0.425,IF(L76&lt;=32,(L76-25)*0.425,0)))),0)+IF(F76="EČ",IF(L76=1,204,IF(L76=2,156.24,IF(L76=3,123.84,IF(L76=4,72,IF(L76=5,66,IF(L76=6,60,IF(L76=7,54,IF(L76=8,48,0))))))))+IF(L76&lt;=8,0,IF(L76&lt;=16,40,IF(L76&lt;=24,25,0)))-IF(L76&lt;=8,0,IF(L76&lt;=16,(L76-9)*1.02,IF(L76&lt;=24,(L76-17)*1.02,0))),0)+IF(F76="EČneol",IF(L76=1,68,IF(L76=2,51.69,IF(L76=3,40.61,IF(L76=4,13,IF(L76=5,12,IF(L76=6,11,IF(L76=7,10,IF(L76=8,9,0)))))))))+IF(F76="EŽ",IF(L76=1,68,IF(L76=2,47.6,IF(L76=3,36,IF(L76=4,18,IF(L76=5,16.5,IF(L76=6,15,IF(L76=7,13.5,IF(L76=8,12,0))))))))+IF(L76&lt;=8,0,IF(L76&lt;=16,10,IF(L76&lt;=24,6,0)))-IF(L76&lt;=8,0,IF(L76&lt;=16,(L76-9)*0.34,IF(L76&lt;=24,(L76-17)*0.34,0))),0)+IF(F76="PT",IF(L76=1,68,IF(L76=2,52.08,IF(L76=3,41.28,IF(L76=4,24,IF(L76=5,22,IF(L76=6,20,IF(L76=7,18,IF(L76=8,16,0))))))))+IF(L76&lt;=8,0,IF(L76&lt;=16,13,IF(L76&lt;=24,9,IF(L76&lt;=32,4,0))))-IF(L76&lt;=8,0,IF(L76&lt;=16,(L76-9)*0.34,IF(L76&lt;=24,(L76-17)*0.34,IF(L76&lt;=32,(L76-25)*0.34,0)))),0)+IF(F76="JOŽ",IF(L76=1,85,IF(L76=2,59.5,IF(L76=3,45,IF(L76=4,32.5,IF(L76=5,30,IF(L76=6,27.5,IF(L76=7,25,IF(L76=8,22.5,0))))))))+IF(L76&lt;=8,0,IF(L76&lt;=16,19,IF(L76&lt;=24,13,0)))-IF(L76&lt;=8,0,IF(L76&lt;=16,(L76-9)*0.425,IF(L76&lt;=24,(L76-17)*0.425,0))),0)+IF(F76="JPČ",IF(L76=1,68,IF(L76=2,47.6,IF(L76=3,36,IF(L76=4,26,IF(L76=5,24,IF(L76=6,22,IF(L76=7,20,IF(L76=8,18,0))))))))+IF(L76&lt;=8,0,IF(L76&lt;=16,13,IF(L76&lt;=24,9,0)))-IF(L76&lt;=8,0,IF(L76&lt;=16,(L76-9)*0.34,IF(L76&lt;=24,(L76-17)*0.34,0))),0)+IF(F76="JEČ",IF(L76=1,34,IF(L76=2,26.04,IF(L76=3,20.6,IF(L76=4,12,IF(L76=5,11,IF(L76=6,10,IF(L76=7,9,IF(L76=8,8,0))))))))+IF(L76&lt;=8,0,IF(L76&lt;=16,6,0))-IF(L76&lt;=8,0,IF(L76&lt;=16,(L76-9)*0.17,0)),0)+IF(F76="JEOF",IF(L76=1,34,IF(L76=2,26.04,IF(L76=3,20.6,IF(L76=4,12,IF(L76=5,11,IF(L76=6,10,IF(L76=7,9,IF(L76=8,8,0))))))))+IF(L76&lt;=8,0,IF(L76&lt;=16,6,0))-IF(L76&lt;=8,0,IF(L76&lt;=16,(L76-9)*0.17,0)),0)+IF(F76="JnPČ",IF(L76=1,51,IF(L76=2,35.7,IF(L76=3,27,IF(L76=4,19.5,IF(L76=5,18,IF(L76=6,16.5,IF(L76=7,15,IF(L76=8,13.5,0))))))))+IF(L76&lt;=8,0,IF(L76&lt;=16,10,0))-IF(L76&lt;=8,0,IF(L76&lt;=16,(L76-9)*0.255,0)),0)+IF(F76="JnEČ",IF(L76=1,25.5,IF(L76=2,19.53,IF(L76=3,15.48,IF(L76=4,9,IF(L76=5,8.25,IF(L76=6,7.5,IF(L76=7,6.75,IF(L76=8,6,0))))))))+IF(L76&lt;=8,0,IF(L76&lt;=16,5,0))-IF(L76&lt;=8,0,IF(L76&lt;=16,(L76-9)*0.1275,0)),0)+IF(F76="JčPČ",IF(L76=1,21.25,IF(L76=2,14.5,IF(L76=3,11.5,IF(L76=4,7,IF(L76=5,6.5,IF(L76=6,6,IF(L76=7,5.5,IF(L76=8,5,0))))))))+IF(L76&lt;=8,0,IF(L76&lt;=16,4,0))-IF(L76&lt;=8,0,IF(L76&lt;=16,(L76-9)*0.10625,0)),0)+IF(F76="JčEČ",IF(L76=1,17,IF(L76=2,13.02,IF(L76=3,10.32,IF(L76=4,6,IF(L76=5,5.5,IF(L76=6,5,IF(L76=7,4.5,IF(L76=8,4,0))))))))+IF(L76&lt;=8,0,IF(L76&lt;=16,3,0))-IF(L76&lt;=8,0,IF(L76&lt;=16,(L76-9)*0.085,0)),0)+IF(F76="NEAK",IF(L76=1,11.48,IF(L76=2,8.79,IF(L76=3,6.97,IF(L76=4,4.05,IF(L76=5,3.71,IF(L76=6,3.38,IF(L76=7,3.04,IF(L76=8,2.7,0))))))))+IF(L76&lt;=8,0,IF(L76&lt;=16,2,IF(L76&lt;=24,1.3,0)))-IF(L76&lt;=8,0,IF(L76&lt;=16,(L76-9)*0.0574,IF(L76&lt;=24,(L76-17)*0.0574,0))),0))*IF(L76&lt;0,1,IF(OR(F76="PČ",F76="PŽ",F76="PT"),IF(J76&lt;32,J76/32,1),1))* IF(L76&lt;0,1,IF(OR(F76="EČ",F76="EŽ",F76="JOŽ",F76="JPČ",F76="NEAK"),IF(J76&lt;24,J76/24,1),1))*IF(L76&lt;0,1,IF(OR(F76="PČneol",F76="JEČ",F76="JEOF",F76="JnPČ",F76="JnEČ",F76="JčPČ",F76="JčEČ"),IF(J76&lt;16,J76/16,1),1))*IF(L76&lt;0,1,IF(F76="EČneol",IF(J76&lt;8,J76/8,1),1))</f>
        <v>0</v>
      </c>
      <c r="O76" s="9">
        <f t="shared" ref="O76:O83" si="30">IF(F76="OŽ",N76,IF(H76="Ne",IF(J76*0.3&lt;J76-L76,N76,0),IF(J76*0.1&lt;J76-L76,N76,0)))</f>
        <v>0</v>
      </c>
      <c r="P76" s="4">
        <f t="shared" si="26"/>
        <v>0</v>
      </c>
      <c r="Q76" s="11">
        <f t="shared" si="27"/>
        <v>0</v>
      </c>
      <c r="R76" s="10">
        <f t="shared" ref="R76:R83" si="31">IF(Q76&lt;=30,O76+P76,O76+O76*0.3)*IF(G76=1,0.4,IF(G76=2,0.75,IF(G76="1 (kas 4 m. 1 k. nerengiamos)",0.52,1)))*IF(D76="olimpinė",1,IF(M76="Ne",0.5,1))*IF(OR(A$5="Lietuvos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federacija"),IF(OR(J76&lt;8,K76&lt;16),0,1),1)*E76*IF(I76&lt;=1,1,1/I76)*IF(OR(A$5="Lietuvos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7" spans="1:18" s="8" customFormat="1">
      <c r="A77" s="73">
        <v>4</v>
      </c>
      <c r="B77" s="73"/>
      <c r="C77" s="1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3">
        <f t="shared" si="29"/>
        <v>0</v>
      </c>
      <c r="O77" s="9">
        <f t="shared" si="30"/>
        <v>0</v>
      </c>
      <c r="P77" s="4">
        <f t="shared" si="26"/>
        <v>0</v>
      </c>
      <c r="Q77" s="11">
        <f t="shared" si="27"/>
        <v>0</v>
      </c>
      <c r="R77" s="10">
        <f t="shared" si="31"/>
        <v>0</v>
      </c>
    </row>
    <row r="78" spans="1:18" s="8" customFormat="1">
      <c r="A78" s="73">
        <v>5</v>
      </c>
      <c r="B78" s="73"/>
      <c r="C78" s="1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3">
        <f t="shared" si="29"/>
        <v>0</v>
      </c>
      <c r="O78" s="9">
        <f t="shared" si="30"/>
        <v>0</v>
      </c>
      <c r="P78" s="4">
        <f t="shared" si="26"/>
        <v>0</v>
      </c>
      <c r="Q78" s="11">
        <f t="shared" si="27"/>
        <v>0</v>
      </c>
      <c r="R78" s="10">
        <f t="shared" si="31"/>
        <v>0</v>
      </c>
    </row>
    <row r="79" spans="1:18" s="8" customFormat="1">
      <c r="A79" s="73">
        <v>6</v>
      </c>
      <c r="B79" s="73"/>
      <c r="C79" s="12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3">
        <f t="shared" si="29"/>
        <v>0</v>
      </c>
      <c r="O79" s="9">
        <f t="shared" si="30"/>
        <v>0</v>
      </c>
      <c r="P79" s="4">
        <f t="shared" si="26"/>
        <v>0</v>
      </c>
      <c r="Q79" s="11">
        <f t="shared" si="27"/>
        <v>0</v>
      </c>
      <c r="R79" s="10">
        <f t="shared" si="31"/>
        <v>0</v>
      </c>
    </row>
    <row r="80" spans="1:18" s="8" customFormat="1">
      <c r="A80" s="73">
        <v>7</v>
      </c>
      <c r="B80" s="73"/>
      <c r="C80" s="12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3">
        <f t="shared" si="29"/>
        <v>0</v>
      </c>
      <c r="O80" s="9">
        <f t="shared" si="30"/>
        <v>0</v>
      </c>
      <c r="P80" s="4">
        <f t="shared" si="26"/>
        <v>0</v>
      </c>
      <c r="Q80" s="11">
        <f t="shared" si="27"/>
        <v>0</v>
      </c>
      <c r="R80" s="10">
        <f t="shared" si="31"/>
        <v>0</v>
      </c>
    </row>
    <row r="81" spans="1:18" s="8" customFormat="1">
      <c r="A81" s="73">
        <v>8</v>
      </c>
      <c r="B81" s="73"/>
      <c r="C81" s="12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3">
        <f t="shared" si="29"/>
        <v>0</v>
      </c>
      <c r="O81" s="9">
        <f t="shared" si="30"/>
        <v>0</v>
      </c>
      <c r="P81" s="4">
        <f t="shared" si="26"/>
        <v>0</v>
      </c>
      <c r="Q81" s="11">
        <f t="shared" si="27"/>
        <v>0</v>
      </c>
      <c r="R81" s="10">
        <f t="shared" si="31"/>
        <v>0</v>
      </c>
    </row>
    <row r="82" spans="1:18" s="8" customFormat="1">
      <c r="A82" s="73">
        <v>9</v>
      </c>
      <c r="B82" s="73"/>
      <c r="C82" s="12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3">
        <f t="shared" si="29"/>
        <v>0</v>
      </c>
      <c r="O82" s="9">
        <f t="shared" si="30"/>
        <v>0</v>
      </c>
      <c r="P82" s="4">
        <f t="shared" si="26"/>
        <v>0</v>
      </c>
      <c r="Q82" s="11">
        <f t="shared" si="27"/>
        <v>0</v>
      </c>
      <c r="R82" s="10">
        <f t="shared" si="31"/>
        <v>0</v>
      </c>
    </row>
    <row r="83" spans="1:18" s="8" customFormat="1">
      <c r="A83" s="73">
        <v>10</v>
      </c>
      <c r="B83" s="73"/>
      <c r="C83" s="12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3">
        <f t="shared" si="29"/>
        <v>0</v>
      </c>
      <c r="O83" s="9">
        <f t="shared" si="30"/>
        <v>0</v>
      </c>
      <c r="P83" s="4">
        <f t="shared" si="26"/>
        <v>0</v>
      </c>
      <c r="Q83" s="11">
        <f t="shared" si="27"/>
        <v>0</v>
      </c>
      <c r="R83" s="10">
        <f t="shared" si="31"/>
        <v>0</v>
      </c>
    </row>
    <row r="84" spans="1:18" s="8" customFormat="1">
      <c r="A84" s="87" t="s">
        <v>36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9"/>
      <c r="R84" s="10">
        <f>SUM(R74:R83)</f>
        <v>32.269440000000003</v>
      </c>
    </row>
    <row r="85" spans="1:18" s="8" customFormat="1">
      <c r="A85" s="14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7"/>
    </row>
    <row r="86" spans="1:18" s="8" customFormat="1" ht="15.75">
      <c r="A86" s="24" t="s">
        <v>37</v>
      </c>
      <c r="B86" s="2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7"/>
    </row>
    <row r="87" spans="1:18" s="8" customFormat="1">
      <c r="A87" s="49" t="s">
        <v>49</v>
      </c>
      <c r="B87" s="49"/>
      <c r="C87" s="49"/>
      <c r="D87" s="49"/>
      <c r="E87" s="49"/>
      <c r="F87" s="49"/>
      <c r="G87" s="49"/>
      <c r="H87" s="49"/>
      <c r="I87" s="49"/>
      <c r="J87" s="56"/>
      <c r="K87" s="56"/>
      <c r="L87" s="56"/>
      <c r="M87" s="56"/>
      <c r="N87" s="56"/>
      <c r="O87" s="56"/>
      <c r="P87" s="56"/>
      <c r="Q87" s="56"/>
      <c r="R87" s="57"/>
    </row>
    <row r="88" spans="1:18" s="8" customFormat="1">
      <c r="A88" s="49"/>
      <c r="B88" s="49"/>
      <c r="C88" s="49"/>
      <c r="D88" s="49"/>
      <c r="E88" s="49"/>
      <c r="F88" s="49"/>
      <c r="G88" s="49"/>
      <c r="H88" s="49"/>
      <c r="I88" s="49"/>
      <c r="J88" s="56"/>
      <c r="K88" s="56"/>
      <c r="L88" s="56"/>
      <c r="M88" s="56"/>
      <c r="N88" s="56"/>
      <c r="O88" s="56"/>
      <c r="P88" s="56"/>
      <c r="Q88" s="56"/>
      <c r="R88" s="57"/>
    </row>
    <row r="89" spans="1:18" s="8" customFormat="1" ht="15" customHeight="1">
      <c r="A89" s="76" t="s">
        <v>55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68"/>
    </row>
    <row r="90" spans="1:18" s="8" customFormat="1" ht="18">
      <c r="A90" s="78" t="s">
        <v>27</v>
      </c>
      <c r="B90" s="79"/>
      <c r="C90" s="79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68"/>
    </row>
    <row r="91" spans="1:18" s="8" customFormat="1">
      <c r="A91" s="80" t="s">
        <v>56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68"/>
    </row>
    <row r="92" spans="1:18" s="8" customFormat="1">
      <c r="A92" s="73">
        <v>1</v>
      </c>
      <c r="B92" s="73" t="s">
        <v>57</v>
      </c>
      <c r="C92" s="12" t="s">
        <v>58</v>
      </c>
      <c r="D92" s="73" t="s">
        <v>45</v>
      </c>
      <c r="E92" s="73">
        <v>1</v>
      </c>
      <c r="F92" s="73" t="s">
        <v>46</v>
      </c>
      <c r="G92" s="73">
        <v>1</v>
      </c>
      <c r="H92" s="73" t="s">
        <v>59</v>
      </c>
      <c r="I92" s="73"/>
      <c r="J92" s="73">
        <v>81</v>
      </c>
      <c r="K92" s="73">
        <v>9</v>
      </c>
      <c r="L92" s="73">
        <v>16</v>
      </c>
      <c r="M92" s="73"/>
      <c r="N92" s="3">
        <f t="shared" ref="N92:N94" si="32">(IF(F92="OŽ",IF(L92=1,550.8,IF(L92=2,426.38,IF(L92=3,342.14,IF(L92=4,181.44,IF(L92=5,168.48,IF(L92=6,155.52,IF(L92=7,148.5,IF(L92=8,144,0))))))))+IF(L92&lt;=8,0,IF(L92&lt;=16,137.7,IF(L92&lt;=24,108,IF(L92&lt;=32,80.1,IF(L92&lt;=36,52.2,0)))))-IF(L92&lt;=8,0,IF(L92&lt;=16,(L92-9)*2.754,IF(L92&lt;=24,(L92-17)* 2.754,IF(L92&lt;=32,(L92-25)* 2.754,IF(L92&lt;=36,(L92-33)*2.754,0))))),0)+IF(F92="PČ",IF(L92=1,449,IF(L92=2,314.6,IF(L92=3,238,IF(L92=4,172,IF(L92=5,159,IF(L92=6,145,IF(L92=7,132,IF(L92=8,119,0))))))))+IF(L92&lt;=8,0,IF(L92&lt;=16,88,IF(L92&lt;=24,55,IF(L92&lt;=32,22,0))))-IF(L92&lt;=8,0,IF(L92&lt;=16,(L92-9)*2.245,IF(L92&lt;=24,(L92-17)*2.245,IF(L92&lt;=32,(L92-25)*2.245,0)))),0)+IF(F92="PČneol",IF(L92=1,85,IF(L92=2,64.61,IF(L92=3,50.76,IF(L92=4,16.25,IF(L92=5,15,IF(L92=6,13.75,IF(L92=7,12.5,IF(L92=8,11.25,0))))))))+IF(L92&lt;=8,0,IF(L92&lt;=16,9,0))-IF(L92&lt;=8,0,IF(L92&lt;=16,(L92-9)*0.425,0)),0)+IF(F92="PŽ",IF(L92=1,85,IF(L92=2,59.5,IF(L92=3,45,IF(L92=4,32.5,IF(L92=5,30,IF(L92=6,27.5,IF(L92=7,25,IF(L92=8,22.5,0))))))))+IF(L92&lt;=8,0,IF(L92&lt;=16,19,IF(L92&lt;=24,13,IF(L92&lt;=32,8,0))))-IF(L92&lt;=8,0,IF(L92&lt;=16,(L92-9)*0.425,IF(L92&lt;=24,(L92-17)*0.425,IF(L92&lt;=32,(L92-25)*0.425,0)))),0)+IF(F92="EČ",IF(L92=1,204,IF(L92=2,156.24,IF(L92=3,123.84,IF(L92=4,72,IF(L92=5,66,IF(L92=6,60,IF(L92=7,54,IF(L92=8,48,0))))))))+IF(L92&lt;=8,0,IF(L92&lt;=16,40,IF(L92&lt;=24,25,0)))-IF(L92&lt;=8,0,IF(L92&lt;=16,(L92-9)*1.02,IF(L92&lt;=24,(L92-17)*1.02,0))),0)+IF(F92="EČneol",IF(L92=1,68,IF(L92=2,51.69,IF(L92=3,40.61,IF(L92=4,13,IF(L92=5,12,IF(L92=6,11,IF(L92=7,10,IF(L92=8,9,0)))))))))+IF(F92="EŽ",IF(L92=1,68,IF(L92=2,47.6,IF(L92=3,36,IF(L92=4,18,IF(L92=5,16.5,IF(L92=6,15,IF(L92=7,13.5,IF(L92=8,12,0))))))))+IF(L92&lt;=8,0,IF(L92&lt;=16,10,IF(L92&lt;=24,6,0)))-IF(L92&lt;=8,0,IF(L92&lt;=16,(L92-9)*0.34,IF(L92&lt;=24,(L92-17)*0.34,0))),0)+IF(F92="PT",IF(L92=1,68,IF(L92=2,52.08,IF(L92=3,41.28,IF(L92=4,24,IF(L92=5,22,IF(L92=6,20,IF(L92=7,18,IF(L92=8,16,0))))))))+IF(L92&lt;=8,0,IF(L92&lt;=16,13,IF(L92&lt;=24,9,IF(L92&lt;=32,4,0))))-IF(L92&lt;=8,0,IF(L92&lt;=16,(L92-9)*0.34,IF(L92&lt;=24,(L92-17)*0.34,IF(L92&lt;=32,(L92-25)*0.34,0)))),0)+IF(F92="JOŽ",IF(L92=1,85,IF(L92=2,59.5,IF(L92=3,45,IF(L92=4,32.5,IF(L92=5,30,IF(L92=6,27.5,IF(L92=7,25,IF(L92=8,22.5,0))))))))+IF(L92&lt;=8,0,IF(L92&lt;=16,19,IF(L92&lt;=24,13,0)))-IF(L92&lt;=8,0,IF(L92&lt;=16,(L92-9)*0.425,IF(L92&lt;=24,(L92-17)*0.425,0))),0)+IF(F92="JPČ",IF(L92=1,68,IF(L92=2,47.6,IF(L92=3,36,IF(L92=4,26,IF(L92=5,24,IF(L92=6,22,IF(L92=7,20,IF(L92=8,18,0))))))))+IF(L92&lt;=8,0,IF(L92&lt;=16,13,IF(L92&lt;=24,9,0)))-IF(L92&lt;=8,0,IF(L92&lt;=16,(L92-9)*0.34,IF(L92&lt;=24,(L92-17)*0.34,0))),0)+IF(F92="JEČ",IF(L92=1,34,IF(L92=2,26.04,IF(L92=3,20.6,IF(L92=4,12,IF(L92=5,11,IF(L92=6,10,IF(L92=7,9,IF(L92=8,8,0))))))))+IF(L92&lt;=8,0,IF(L92&lt;=16,6,0))-IF(L92&lt;=8,0,IF(L92&lt;=16,(L92-9)*0.17,0)),0)+IF(F92="JEOF",IF(L92=1,34,IF(L92=2,26.04,IF(L92=3,20.6,IF(L92=4,12,IF(L92=5,11,IF(L92=6,10,IF(L92=7,9,IF(L92=8,8,0))))))))+IF(L92&lt;=8,0,IF(L92&lt;=16,6,0))-IF(L92&lt;=8,0,IF(L92&lt;=16,(L92-9)*0.17,0)),0)+IF(F92="JnPČ",IF(L92=1,51,IF(L92=2,35.7,IF(L92=3,27,IF(L92=4,19.5,IF(L92=5,18,IF(L92=6,16.5,IF(L92=7,15,IF(L92=8,13.5,0))))))))+IF(L92&lt;=8,0,IF(L92&lt;=16,10,0))-IF(L92&lt;=8,0,IF(L92&lt;=16,(L92-9)*0.255,0)),0)+IF(F92="JnEČ",IF(L92=1,25.5,IF(L92=2,19.53,IF(L92=3,15.48,IF(L92=4,9,IF(L92=5,8.25,IF(L92=6,7.5,IF(L92=7,6.75,IF(L92=8,6,0))))))))+IF(L92&lt;=8,0,IF(L92&lt;=16,5,0))-IF(L92&lt;=8,0,IF(L92&lt;=16,(L92-9)*0.1275,0)),0)+IF(F92="JčPČ",IF(L92=1,21.25,IF(L92=2,14.5,IF(L92=3,11.5,IF(L92=4,7,IF(L92=5,6.5,IF(L92=6,6,IF(L92=7,5.5,IF(L92=8,5,0))))))))+IF(L92&lt;=8,0,IF(L92&lt;=16,4,0))-IF(L92&lt;=8,0,IF(L92&lt;=16,(L92-9)*0.10625,0)),0)+IF(F92="JčEČ",IF(L92=1,17,IF(L92=2,13.02,IF(L92=3,10.32,IF(L92=4,6,IF(L92=5,5.5,IF(L92=6,5,IF(L92=7,4.5,IF(L92=8,4,0))))))))+IF(L92&lt;=8,0,IF(L92&lt;=16,3,0))-IF(L92&lt;=8,0,IF(L92&lt;=16,(L92-9)*0.085,0)),0)+IF(F92="NEAK",IF(L92=1,11.48,IF(L92=2,8.79,IF(L92=3,6.97,IF(L92=4,4.05,IF(L92=5,3.71,IF(L92=6,3.38,IF(L92=7,3.04,IF(L92=8,2.7,0))))))))+IF(L92&lt;=8,0,IF(L92&lt;=16,2,IF(L92&lt;=24,1.3,0)))-IF(L92&lt;=8,0,IF(L92&lt;=16,(L92-9)*0.0574,IF(L92&lt;=24,(L92-17)*0.0574,0))),0))*IF(L92&lt;4,1,IF(OR(F92="PČ",F92="PŽ",F92="PT"),IF(J92&lt;32,J92/32,1),1))* IF(L92&lt;4,1,IF(OR(F92="EČ",F92="EŽ",F92="JOŽ",F92="JPČ",F92="NEAK"),IF(J92&lt;24,J92/24,1),1))*IF(L92&lt;4,1,IF(OR(F92="PČneol",F92="JEČ",F92="JEOF",F92="JnPČ",F92="JnEČ",F92="JčPČ",F92="JčEČ"),IF(J92&lt;16,J92/16,1),1))*IF(L92&lt;4,1,IF(F92="EČneol",IF(J92&lt;8,J92/8,1),1))</f>
        <v>6.0250000000000004</v>
      </c>
      <c r="O92" s="9">
        <f t="shared" ref="O92:O94" si="33">IF(F92="OŽ",N92,IF(H92="Ne",IF(J92*0.3&lt;=J92-L92,N92,0),IF(J92*0.1&lt;=J92-L92,N92,0)))</f>
        <v>6.0250000000000004</v>
      </c>
      <c r="P92" s="4">
        <f t="shared" ref="P92:P100" si="34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0</v>
      </c>
      <c r="Q92" s="11">
        <f t="shared" ref="Q92:Q100" si="35">IF(ISERROR(P92*100/N92),0,(P92*100/N92))</f>
        <v>0</v>
      </c>
      <c r="R92" s="10">
        <f t="shared" ref="R92:R94" si="36">IF(Q92&lt;=30,O92+P92,O92+O92*0.3)*IF(G92=1,0.4,IF(G92=2,0.75,IF(G92="1 (kas 4 m. 1 k. nerengiamos)",0.52,1)))*IF(D92="olimpinė",1,IF(M92="Ne",0.5,1))*IF(D92="olimpinė",1,IF(J92&lt;8,0,1))*E92*IF(D92="olimpinė",1,IF(K92&lt;16,0,1))*IF(I92&lt;=1,1,1/I92)*IF(OR(A$5="Lietuvos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93" spans="1:18" s="8" customFormat="1" ht="90">
      <c r="A93" s="73">
        <v>2</v>
      </c>
      <c r="B93" s="73" t="s">
        <v>60</v>
      </c>
      <c r="C93" s="12" t="s">
        <v>61</v>
      </c>
      <c r="D93" s="73" t="s">
        <v>45</v>
      </c>
      <c r="E93" s="73">
        <v>7</v>
      </c>
      <c r="F93" s="73" t="s">
        <v>46</v>
      </c>
      <c r="G93" s="73">
        <v>1</v>
      </c>
      <c r="H93" s="73" t="s">
        <v>59</v>
      </c>
      <c r="I93" s="73"/>
      <c r="J93" s="73">
        <v>11</v>
      </c>
      <c r="K93" s="73">
        <v>6</v>
      </c>
      <c r="L93" s="73">
        <v>2</v>
      </c>
      <c r="M93" s="73"/>
      <c r="N93" s="3">
        <f t="shared" si="32"/>
        <v>64.61</v>
      </c>
      <c r="O93" s="9">
        <f t="shared" si="33"/>
        <v>64.61</v>
      </c>
      <c r="P93" s="4">
        <f t="shared" si="34"/>
        <v>2.2949999999999999</v>
      </c>
      <c r="Q93" s="11">
        <f t="shared" si="35"/>
        <v>3.5520817210958056</v>
      </c>
      <c r="R93" s="10">
        <f t="shared" si="36"/>
        <v>0</v>
      </c>
    </row>
    <row r="94" spans="1:18" s="8" customFormat="1">
      <c r="A94" s="73">
        <v>3</v>
      </c>
      <c r="B94" s="73" t="s">
        <v>47</v>
      </c>
      <c r="C94" s="12" t="s">
        <v>62</v>
      </c>
      <c r="D94" s="73" t="s">
        <v>45</v>
      </c>
      <c r="E94" s="73">
        <v>1</v>
      </c>
      <c r="F94" s="73" t="s">
        <v>46</v>
      </c>
      <c r="G94" s="73">
        <v>1</v>
      </c>
      <c r="H94" s="73" t="s">
        <v>33</v>
      </c>
      <c r="I94" s="73"/>
      <c r="J94" s="73">
        <v>34</v>
      </c>
      <c r="K94" s="73">
        <v>8</v>
      </c>
      <c r="L94" s="73">
        <v>1</v>
      </c>
      <c r="M94" s="73"/>
      <c r="N94" s="3">
        <f t="shared" si="32"/>
        <v>85</v>
      </c>
      <c r="O94" s="9">
        <f t="shared" si="33"/>
        <v>85</v>
      </c>
      <c r="P94" s="4">
        <f t="shared" si="34"/>
        <v>3.8250000000000002</v>
      </c>
      <c r="Q94" s="11">
        <f t="shared" si="35"/>
        <v>4.5</v>
      </c>
      <c r="R94" s="10">
        <f t="shared" si="36"/>
        <v>0</v>
      </c>
    </row>
    <row r="95" spans="1:18" s="8" customFormat="1">
      <c r="A95" s="73">
        <v>5</v>
      </c>
      <c r="B95" s="73"/>
      <c r="C95" s="12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3">
        <f t="shared" ref="N95:N100" si="37">(IF(F95="OŽ",IF(L95=1,550.8,IF(L95=2,426.38,IF(L95=3,342.14,IF(L95=4,181.44,IF(L95=5,168.48,IF(L95=6,155.52,IF(L95=7,148.5,IF(L95=8,144,0))))))))+IF(L95&lt;=8,0,IF(L95&lt;=16,137.7,IF(L95&lt;=24,108,IF(L95&lt;=32,80.1,IF(L95&lt;=36,52.2,0)))))-IF(L95&lt;=8,0,IF(L95&lt;=16,(L95-9)*2.754,IF(L95&lt;=24,(L95-17)* 2.754,IF(L95&lt;=32,(L95-25)* 2.754,IF(L95&lt;=36,(L95-33)*2.754,0))))),0)+IF(F95="PČ",IF(L95=1,449,IF(L95=2,314.6,IF(L95=3,238,IF(L95=4,172,IF(L95=5,159,IF(L95=6,145,IF(L95=7,132,IF(L95=8,119,0))))))))+IF(L95&lt;=8,0,IF(L95&lt;=16,88,IF(L95&lt;=24,55,IF(L95&lt;=32,22,0))))-IF(L95&lt;=8,0,IF(L95&lt;=16,(L95-9)*2.245,IF(L95&lt;=24,(L95-17)*2.245,IF(L95&lt;=32,(L95-25)*2.245,0)))),0)+IF(F95="PČneol",IF(L95=1,85,IF(L95=2,64.61,IF(L95=3,50.76,IF(L95=4,16.25,IF(L95=5,15,IF(L95=6,13.75,IF(L95=7,12.5,IF(L95=8,11.25,0))))))))+IF(L95&lt;=8,0,IF(L95&lt;=16,9,0))-IF(L95&lt;=8,0,IF(L95&lt;=16,(L95-9)*0.425,0)),0)+IF(F95="PŽ",IF(L95=1,85,IF(L95=2,59.5,IF(L95=3,45,IF(L95=4,32.5,IF(L95=5,30,IF(L95=6,27.5,IF(L95=7,25,IF(L95=8,22.5,0))))))))+IF(L95&lt;=8,0,IF(L95&lt;=16,19,IF(L95&lt;=24,13,IF(L95&lt;=32,8,0))))-IF(L95&lt;=8,0,IF(L95&lt;=16,(L95-9)*0.425,IF(L95&lt;=24,(L95-17)*0.425,IF(L95&lt;=32,(L95-25)*0.425,0)))),0)+IF(F95="EČ",IF(L95=1,204,IF(L95=2,156.24,IF(L95=3,123.84,IF(L95=4,72,IF(L95=5,66,IF(L95=6,60,IF(L95=7,54,IF(L95=8,48,0))))))))+IF(L95&lt;=8,0,IF(L95&lt;=16,40,IF(L95&lt;=24,25,0)))-IF(L95&lt;=8,0,IF(L95&lt;=16,(L95-9)*1.02,IF(L95&lt;=24,(L95-17)*1.02,0))),0)+IF(F95="EČneol",IF(L95=1,68,IF(L95=2,51.69,IF(L95=3,40.61,IF(L95=4,13,IF(L95=5,12,IF(L95=6,11,IF(L95=7,10,IF(L95=8,9,0)))))))))+IF(F95="EŽ",IF(L95=1,68,IF(L95=2,47.6,IF(L95=3,36,IF(L95=4,18,IF(L95=5,16.5,IF(L95=6,15,IF(L95=7,13.5,IF(L95=8,12,0))))))))+IF(L95&lt;=8,0,IF(L95&lt;=16,10,IF(L95&lt;=24,6,0)))-IF(L95&lt;=8,0,IF(L95&lt;=16,(L95-9)*0.34,IF(L95&lt;=24,(L95-17)*0.34,0))),0)+IF(F95="PT",IF(L95=1,68,IF(L95=2,52.08,IF(L95=3,41.28,IF(L95=4,24,IF(L95=5,22,IF(L95=6,20,IF(L95=7,18,IF(L95=8,16,0))))))))+IF(L95&lt;=8,0,IF(L95&lt;=16,13,IF(L95&lt;=24,9,IF(L95&lt;=32,4,0))))-IF(L95&lt;=8,0,IF(L95&lt;=16,(L95-9)*0.34,IF(L95&lt;=24,(L95-17)*0.34,IF(L95&lt;=32,(L95-25)*0.34,0)))),0)+IF(F95="JOŽ",IF(L95=1,85,IF(L95=2,59.5,IF(L95=3,45,IF(L95=4,32.5,IF(L95=5,30,IF(L95=6,27.5,IF(L95=7,25,IF(L95=8,22.5,0))))))))+IF(L95&lt;=8,0,IF(L95&lt;=16,19,IF(L95&lt;=24,13,0)))-IF(L95&lt;=8,0,IF(L95&lt;=16,(L95-9)*0.425,IF(L95&lt;=24,(L95-17)*0.425,0))),0)+IF(F95="JPČ",IF(L95=1,68,IF(L95=2,47.6,IF(L95=3,36,IF(L95=4,26,IF(L95=5,24,IF(L95=6,22,IF(L95=7,20,IF(L95=8,18,0))))))))+IF(L95&lt;=8,0,IF(L95&lt;=16,13,IF(L95&lt;=24,9,0)))-IF(L95&lt;=8,0,IF(L95&lt;=16,(L95-9)*0.34,IF(L95&lt;=24,(L95-17)*0.34,0))),0)+IF(F95="JEČ",IF(L95=1,34,IF(L95=2,26.04,IF(L95=3,20.6,IF(L95=4,12,IF(L95=5,11,IF(L95=6,10,IF(L95=7,9,IF(L95=8,8,0))))))))+IF(L95&lt;=8,0,IF(L95&lt;=16,6,0))-IF(L95&lt;=8,0,IF(L95&lt;=16,(L95-9)*0.17,0)),0)+IF(F95="JEOF",IF(L95=1,34,IF(L95=2,26.04,IF(L95=3,20.6,IF(L95=4,12,IF(L95=5,11,IF(L95=6,10,IF(L95=7,9,IF(L95=8,8,0))))))))+IF(L95&lt;=8,0,IF(L95&lt;=16,6,0))-IF(L95&lt;=8,0,IF(L95&lt;=16,(L95-9)*0.17,0)),0)+IF(F95="JnPČ",IF(L95=1,51,IF(L95=2,35.7,IF(L95=3,27,IF(L95=4,19.5,IF(L95=5,18,IF(L95=6,16.5,IF(L95=7,15,IF(L95=8,13.5,0))))))))+IF(L95&lt;=8,0,IF(L95&lt;=16,10,0))-IF(L95&lt;=8,0,IF(L95&lt;=16,(L95-9)*0.255,0)),0)+IF(F95="JnEČ",IF(L95=1,25.5,IF(L95=2,19.53,IF(L95=3,15.48,IF(L95=4,9,IF(L95=5,8.25,IF(L95=6,7.5,IF(L95=7,6.75,IF(L95=8,6,0))))))))+IF(L95&lt;=8,0,IF(L95&lt;=16,5,0))-IF(L95&lt;=8,0,IF(L95&lt;=16,(L95-9)*0.1275,0)),0)+IF(F95="JčPČ",IF(L95=1,21.25,IF(L95=2,14.5,IF(L95=3,11.5,IF(L95=4,7,IF(L95=5,6.5,IF(L95=6,6,IF(L95=7,5.5,IF(L95=8,5,0))))))))+IF(L95&lt;=8,0,IF(L95&lt;=16,4,0))-IF(L95&lt;=8,0,IF(L95&lt;=16,(L95-9)*0.10625,0)),0)+IF(F95="JčEČ",IF(L95=1,17,IF(L95=2,13.02,IF(L95=3,10.32,IF(L95=4,6,IF(L95=5,5.5,IF(L95=6,5,IF(L95=7,4.5,IF(L95=8,4,0))))))))+IF(L95&lt;=8,0,IF(L95&lt;=16,3,0))-IF(L95&lt;=8,0,IF(L95&lt;=16,(L95-9)*0.085,0)),0)+IF(F95="NEAK",IF(L95=1,11.48,IF(L95=2,8.79,IF(L95=3,6.97,IF(L95=4,4.05,IF(L95=5,3.71,IF(L95=6,3.38,IF(L95=7,3.04,IF(L95=8,2.7,0))))))))+IF(L95&lt;=8,0,IF(L95&lt;=16,2,IF(L95&lt;=24,1.3,0)))-IF(L95&lt;=8,0,IF(L95&lt;=16,(L95-9)*0.0574,IF(L95&lt;=24,(L95-17)*0.0574,0))),0))*IF(L95&lt;0,1,IF(OR(F95="PČ",F95="PŽ",F95="PT"),IF(J95&lt;32,J95/32,1),1))* IF(L95&lt;0,1,IF(OR(F95="EČ",F95="EŽ",F95="JOŽ",F95="JPČ",F95="NEAK"),IF(J95&lt;24,J95/24,1),1))*IF(L95&lt;0,1,IF(OR(F95="PČneol",F95="JEČ",F95="JEOF",F95="JnPČ",F95="JnEČ",F95="JčPČ",F95="JčEČ"),IF(J95&lt;16,J95/16,1),1))*IF(L95&lt;0,1,IF(F95="EČneol",IF(J95&lt;8,J95/8,1),1))</f>
        <v>0</v>
      </c>
      <c r="O95" s="9">
        <f t="shared" ref="O95:O100" si="38">IF(F95="OŽ",N95,IF(H95="Ne",IF(J95*0.3&lt;J95-L95,N95,0),IF(J95*0.1&lt;J95-L95,N95,0)))</f>
        <v>0</v>
      </c>
      <c r="P95" s="4">
        <f t="shared" si="34"/>
        <v>0</v>
      </c>
      <c r="Q95" s="11">
        <f t="shared" si="35"/>
        <v>0</v>
      </c>
      <c r="R95" s="10">
        <f t="shared" ref="R95:R100" si="39">IF(Q95&lt;=30,O95+P95,O95+O95*0.3)*IF(G95=1,0.4,IF(G95=2,0.75,IF(G95="1 (kas 4 m. 1 k. nerengiamos)",0.52,1)))*IF(D95="olimpinė",1,IF(M95="Ne",0.5,1))*IF(OR(A$5="Lietuvos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federacija"),IF(OR(J95&lt;8,K95&lt;16),0,1),1)*E95*IF(I95&lt;=1,1,1/I95)*IF(OR(A$5="Lietuvos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96" spans="1:18" s="8" customFormat="1">
      <c r="A96" s="73">
        <v>6</v>
      </c>
      <c r="B96" s="73"/>
      <c r="C96" s="12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3">
        <f t="shared" si="37"/>
        <v>0</v>
      </c>
      <c r="O96" s="9">
        <f t="shared" si="38"/>
        <v>0</v>
      </c>
      <c r="P96" s="4">
        <f t="shared" si="34"/>
        <v>0</v>
      </c>
      <c r="Q96" s="11">
        <f t="shared" si="35"/>
        <v>0</v>
      </c>
      <c r="R96" s="10">
        <f t="shared" si="39"/>
        <v>0</v>
      </c>
    </row>
    <row r="97" spans="1:18" s="8" customFormat="1">
      <c r="A97" s="73">
        <v>7</v>
      </c>
      <c r="B97" s="73"/>
      <c r="C97" s="12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3">
        <f t="shared" si="37"/>
        <v>0</v>
      </c>
      <c r="O97" s="9">
        <f t="shared" si="38"/>
        <v>0</v>
      </c>
      <c r="P97" s="4">
        <f t="shared" si="34"/>
        <v>0</v>
      </c>
      <c r="Q97" s="11">
        <f t="shared" si="35"/>
        <v>0</v>
      </c>
      <c r="R97" s="10">
        <f t="shared" si="39"/>
        <v>0</v>
      </c>
    </row>
    <row r="98" spans="1:18" s="8" customFormat="1">
      <c r="A98" s="73">
        <v>8</v>
      </c>
      <c r="B98" s="73"/>
      <c r="C98" s="12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3">
        <f t="shared" si="37"/>
        <v>0</v>
      </c>
      <c r="O98" s="9">
        <f t="shared" si="38"/>
        <v>0</v>
      </c>
      <c r="P98" s="4">
        <f t="shared" si="34"/>
        <v>0</v>
      </c>
      <c r="Q98" s="11">
        <f t="shared" si="35"/>
        <v>0</v>
      </c>
      <c r="R98" s="10">
        <f t="shared" si="39"/>
        <v>0</v>
      </c>
    </row>
    <row r="99" spans="1:18" s="8" customFormat="1">
      <c r="A99" s="73">
        <v>9</v>
      </c>
      <c r="B99" s="73"/>
      <c r="C99" s="12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3">
        <f t="shared" si="37"/>
        <v>0</v>
      </c>
      <c r="O99" s="9">
        <f t="shared" si="38"/>
        <v>0</v>
      </c>
      <c r="P99" s="4">
        <f t="shared" si="34"/>
        <v>0</v>
      </c>
      <c r="Q99" s="11">
        <f t="shared" si="35"/>
        <v>0</v>
      </c>
      <c r="R99" s="10">
        <f t="shared" si="39"/>
        <v>0</v>
      </c>
    </row>
    <row r="100" spans="1:18" s="8" customFormat="1">
      <c r="A100" s="73">
        <v>10</v>
      </c>
      <c r="B100" s="73"/>
      <c r="C100" s="12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3">
        <f t="shared" si="37"/>
        <v>0</v>
      </c>
      <c r="O100" s="9">
        <f t="shared" si="38"/>
        <v>0</v>
      </c>
      <c r="P100" s="4">
        <f t="shared" si="34"/>
        <v>0</v>
      </c>
      <c r="Q100" s="11">
        <f t="shared" si="35"/>
        <v>0</v>
      </c>
      <c r="R100" s="10">
        <f t="shared" si="39"/>
        <v>0</v>
      </c>
    </row>
    <row r="101" spans="1:18" s="8" customFormat="1">
      <c r="A101" s="87" t="s">
        <v>36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9"/>
      <c r="R101" s="10">
        <f>SUM(R91:R100)</f>
        <v>0</v>
      </c>
    </row>
    <row r="102" spans="1:18" s="8" customFormat="1">
      <c r="A102" s="1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3" spans="1:18" s="8" customFormat="1" ht="15.75">
      <c r="A103" s="24" t="s">
        <v>37</v>
      </c>
      <c r="B103" s="2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4" spans="1:18" s="8" customFormat="1">
      <c r="A104" s="49" t="s">
        <v>49</v>
      </c>
      <c r="B104" s="49"/>
      <c r="C104" s="49"/>
      <c r="D104" s="49"/>
      <c r="E104" s="49"/>
      <c r="F104" s="49"/>
      <c r="G104" s="49"/>
      <c r="H104" s="49"/>
      <c r="I104" s="49"/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1:18" s="8" customFormat="1" ht="15" customHeight="1">
      <c r="A105" s="76" t="s">
        <v>63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68"/>
    </row>
    <row r="106" spans="1:18" s="8" customFormat="1" ht="18">
      <c r="A106" s="78" t="s">
        <v>27</v>
      </c>
      <c r="B106" s="79"/>
      <c r="C106" s="7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68"/>
    </row>
    <row r="107" spans="1:18" s="8" customFormat="1" ht="13.9" customHeight="1">
      <c r="A107" s="80" t="s">
        <v>64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68"/>
    </row>
    <row r="108" spans="1:18" s="8" customFormat="1">
      <c r="A108" s="73">
        <v>1</v>
      </c>
      <c r="B108" s="73" t="s">
        <v>42</v>
      </c>
      <c r="C108" s="12" t="s">
        <v>30</v>
      </c>
      <c r="D108" s="73" t="s">
        <v>31</v>
      </c>
      <c r="E108" s="73">
        <v>1</v>
      </c>
      <c r="F108" s="73" t="s">
        <v>54</v>
      </c>
      <c r="G108" s="73">
        <v>1</v>
      </c>
      <c r="H108" s="73" t="s">
        <v>33</v>
      </c>
      <c r="I108" s="73"/>
      <c r="J108" s="73">
        <v>74</v>
      </c>
      <c r="K108" s="73">
        <v>23</v>
      </c>
      <c r="L108" s="73">
        <v>18</v>
      </c>
      <c r="M108" s="73"/>
      <c r="N108" s="3">
        <f t="shared" ref="N108:N109" si="40">(IF(F108="OŽ",IF(L108=1,550.8,IF(L108=2,426.38,IF(L108=3,342.14,IF(L108=4,181.44,IF(L108=5,168.48,IF(L108=6,155.52,IF(L108=7,148.5,IF(L108=8,144,0))))))))+IF(L108&lt;=8,0,IF(L108&lt;=16,137.7,IF(L108&lt;=24,108,IF(L108&lt;=32,80.1,IF(L108&lt;=36,52.2,0)))))-IF(L108&lt;=8,0,IF(L108&lt;=16,(L108-9)*2.754,IF(L108&lt;=24,(L108-17)* 2.754,IF(L108&lt;=32,(L108-25)* 2.754,IF(L108&lt;=36,(L108-33)*2.754,0))))),0)+IF(F108="PČ",IF(L108=1,449,IF(L108=2,314.6,IF(L108=3,238,IF(L108=4,172,IF(L108=5,159,IF(L108=6,145,IF(L108=7,132,IF(L108=8,119,0))))))))+IF(L108&lt;=8,0,IF(L108&lt;=16,88,IF(L108&lt;=24,55,IF(L108&lt;=32,22,0))))-IF(L108&lt;=8,0,IF(L108&lt;=16,(L108-9)*2.245,IF(L108&lt;=24,(L108-17)*2.245,IF(L108&lt;=32,(L108-25)*2.245,0)))),0)+IF(F108="PČneol",IF(L108=1,85,IF(L108=2,64.61,IF(L108=3,50.76,IF(L108=4,16.25,IF(L108=5,15,IF(L108=6,13.75,IF(L108=7,12.5,IF(L108=8,11.25,0))))))))+IF(L108&lt;=8,0,IF(L108&lt;=16,9,0))-IF(L108&lt;=8,0,IF(L108&lt;=16,(L108-9)*0.425,0)),0)+IF(F108="PŽ",IF(L108=1,85,IF(L108=2,59.5,IF(L108=3,45,IF(L108=4,32.5,IF(L108=5,30,IF(L108=6,27.5,IF(L108=7,25,IF(L108=8,22.5,0))))))))+IF(L108&lt;=8,0,IF(L108&lt;=16,19,IF(L108&lt;=24,13,IF(L108&lt;=32,8,0))))-IF(L108&lt;=8,0,IF(L108&lt;=16,(L108-9)*0.425,IF(L108&lt;=24,(L108-17)*0.425,IF(L108&lt;=32,(L108-25)*0.425,0)))),0)+IF(F108="EČ",IF(L108=1,204,IF(L108=2,156.24,IF(L108=3,123.84,IF(L108=4,72,IF(L108=5,66,IF(L108=6,60,IF(L108=7,54,IF(L108=8,48,0))))))))+IF(L108&lt;=8,0,IF(L108&lt;=16,40,IF(L108&lt;=24,25,0)))-IF(L108&lt;=8,0,IF(L108&lt;=16,(L108-9)*1.02,IF(L108&lt;=24,(L108-17)*1.02,0))),0)+IF(F108="EČneol",IF(L108=1,68,IF(L108=2,51.69,IF(L108=3,40.61,IF(L108=4,13,IF(L108=5,12,IF(L108=6,11,IF(L108=7,10,IF(L108=8,9,0)))))))))+IF(F108="EŽ",IF(L108=1,68,IF(L108=2,47.6,IF(L108=3,36,IF(L108=4,18,IF(L108=5,16.5,IF(L108=6,15,IF(L108=7,13.5,IF(L108=8,12,0))))))))+IF(L108&lt;=8,0,IF(L108&lt;=16,10,IF(L108&lt;=24,6,0)))-IF(L108&lt;=8,0,IF(L108&lt;=16,(L108-9)*0.34,IF(L108&lt;=24,(L108-17)*0.34,0))),0)+IF(F108="PT",IF(L108=1,68,IF(L108=2,52.08,IF(L108=3,41.28,IF(L108=4,24,IF(L108=5,22,IF(L108=6,20,IF(L108=7,18,IF(L108=8,16,0))))))))+IF(L108&lt;=8,0,IF(L108&lt;=16,13,IF(L108&lt;=24,9,IF(L108&lt;=32,4,0))))-IF(L108&lt;=8,0,IF(L108&lt;=16,(L108-9)*0.34,IF(L108&lt;=24,(L108-17)*0.34,IF(L108&lt;=32,(L108-25)*0.34,0)))),0)+IF(F108="JOŽ",IF(L108=1,85,IF(L108=2,59.5,IF(L108=3,45,IF(L108=4,32.5,IF(L108=5,30,IF(L108=6,27.5,IF(L108=7,25,IF(L108=8,22.5,0))))))))+IF(L108&lt;=8,0,IF(L108&lt;=16,19,IF(L108&lt;=24,13,0)))-IF(L108&lt;=8,0,IF(L108&lt;=16,(L108-9)*0.425,IF(L108&lt;=24,(L108-17)*0.425,0))),0)+IF(F108="JPČ",IF(L108=1,68,IF(L108=2,47.6,IF(L108=3,36,IF(L108=4,26,IF(L108=5,24,IF(L108=6,22,IF(L108=7,20,IF(L108=8,18,0))))))))+IF(L108&lt;=8,0,IF(L108&lt;=16,13,IF(L108&lt;=24,9,0)))-IF(L108&lt;=8,0,IF(L108&lt;=16,(L108-9)*0.34,IF(L108&lt;=24,(L108-17)*0.34,0))),0)+IF(F108="JEČ",IF(L108=1,34,IF(L108=2,26.04,IF(L108=3,20.6,IF(L108=4,12,IF(L108=5,11,IF(L108=6,10,IF(L108=7,9,IF(L108=8,8,0))))))))+IF(L108&lt;=8,0,IF(L108&lt;=16,6,0))-IF(L108&lt;=8,0,IF(L108&lt;=16,(L108-9)*0.17,0)),0)+IF(F108="JEOF",IF(L108=1,34,IF(L108=2,26.04,IF(L108=3,20.6,IF(L108=4,12,IF(L108=5,11,IF(L108=6,10,IF(L108=7,9,IF(L108=8,8,0))))))))+IF(L108&lt;=8,0,IF(L108&lt;=16,6,0))-IF(L108&lt;=8,0,IF(L108&lt;=16,(L108-9)*0.17,0)),0)+IF(F108="JnPČ",IF(L108=1,51,IF(L108=2,35.7,IF(L108=3,27,IF(L108=4,19.5,IF(L108=5,18,IF(L108=6,16.5,IF(L108=7,15,IF(L108=8,13.5,0))))))))+IF(L108&lt;=8,0,IF(L108&lt;=16,10,0))-IF(L108&lt;=8,0,IF(L108&lt;=16,(L108-9)*0.255,0)),0)+IF(F108="JnEČ",IF(L108=1,25.5,IF(L108=2,19.53,IF(L108=3,15.48,IF(L108=4,9,IF(L108=5,8.25,IF(L108=6,7.5,IF(L108=7,6.75,IF(L108=8,6,0))))))))+IF(L108&lt;=8,0,IF(L108&lt;=16,5,0))-IF(L108&lt;=8,0,IF(L108&lt;=16,(L108-9)*0.1275,0)),0)+IF(F108="JčPČ",IF(L108=1,21.25,IF(L108=2,14.5,IF(L108=3,11.5,IF(L108=4,7,IF(L108=5,6.5,IF(L108=6,6,IF(L108=7,5.5,IF(L108=8,5,0))))))))+IF(L108&lt;=8,0,IF(L108&lt;=16,4,0))-IF(L108&lt;=8,0,IF(L108&lt;=16,(L108-9)*0.10625,0)),0)+IF(F108="JčEČ",IF(L108=1,17,IF(L108=2,13.02,IF(L108=3,10.32,IF(L108=4,6,IF(L108=5,5.5,IF(L108=6,5,IF(L108=7,4.5,IF(L108=8,4,0))))))))+IF(L108&lt;=8,0,IF(L108&lt;=16,3,0))-IF(L108&lt;=8,0,IF(L108&lt;=16,(L108-9)*0.085,0)),0)+IF(F108="NEAK",IF(L108=1,11.48,IF(L108=2,8.79,IF(L108=3,6.97,IF(L108=4,4.05,IF(L108=5,3.71,IF(L108=6,3.38,IF(L108=7,3.04,IF(L108=8,2.7,0))))))))+IF(L108&lt;=8,0,IF(L108&lt;=16,2,IF(L108&lt;=24,1.3,0)))-IF(L108&lt;=8,0,IF(L108&lt;=16,(L108-9)*0.0574,IF(L108&lt;=24,(L108-17)*0.0574,0))),0))*IF(L108&lt;4,1,IF(OR(F108="PČ",F108="PŽ",F108="PT"),IF(J108&lt;32,J108/32,1),1))* IF(L108&lt;4,1,IF(OR(F108="EČ",F108="EŽ",F108="JOŽ",F108="JPČ",F108="NEAK"),IF(J108&lt;24,J108/24,1),1))*IF(L108&lt;4,1,IF(OR(F108="PČneol",F108="JEČ",F108="JEOF",F108="JnPČ",F108="JnEČ",F108="JčPČ",F108="JčEČ"),IF(J108&lt;16,J108/16,1),1))*IF(L108&lt;4,1,IF(F108="EČneol",IF(J108&lt;8,J108/8,1),1))</f>
        <v>23.98</v>
      </c>
      <c r="O108" s="9">
        <f t="shared" ref="O108:O109" si="41">IF(F108="OŽ",N108,IF(H108="Ne",IF(J108*0.3&lt;=J108-L108,N108,0),IF(J108*0.1&lt;=J108-L108,N108,0)))</f>
        <v>23.98</v>
      </c>
      <c r="P108" s="4">
        <f t="shared" ref="P108:P117" si="42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3.6719999999999997</v>
      </c>
      <c r="Q108" s="11">
        <f t="shared" ref="Q108:Q117" si="43">IF(ISERROR(P108*100/N108),0,(P108*100/N108))</f>
        <v>15.312760633861551</v>
      </c>
      <c r="R108" s="10">
        <f t="shared" ref="R108:R109" si="44">IF(Q108&lt;=30,O108+P108,O108+O108*0.3)*IF(G108=1,0.4,IF(G108=2,0.75,IF(G108="1 (kas 4 m. 1 k. nerengiamos)",0.52,1)))*IF(D108="olimpinė",1,IF(M108="Ne",0.5,1))*IF(D108="olimpinė",1,IF(J108&lt;8,0,1))*E108*IF(D108="olimpinė",1,IF(K108&lt;16,0,1))*IF(I108&lt;=1,1,1/I108)*IF(OR(A$5="Lietuvos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11.613840000000001</v>
      </c>
    </row>
    <row r="109" spans="1:18" s="8" customFormat="1">
      <c r="A109" s="73">
        <v>2</v>
      </c>
      <c r="B109" s="73" t="s">
        <v>65</v>
      </c>
      <c r="C109" s="12" t="s">
        <v>62</v>
      </c>
      <c r="D109" s="73" t="s">
        <v>45</v>
      </c>
      <c r="E109" s="73">
        <v>1</v>
      </c>
      <c r="F109" s="73" t="s">
        <v>66</v>
      </c>
      <c r="G109" s="73">
        <v>1</v>
      </c>
      <c r="H109" s="73" t="s">
        <v>33</v>
      </c>
      <c r="I109" s="73"/>
      <c r="J109" s="73">
        <v>21</v>
      </c>
      <c r="K109" s="73">
        <v>12</v>
      </c>
      <c r="L109" s="73">
        <v>7</v>
      </c>
      <c r="M109" s="73"/>
      <c r="N109" s="3">
        <f t="shared" si="40"/>
        <v>10</v>
      </c>
      <c r="O109" s="9">
        <f t="shared" si="41"/>
        <v>10</v>
      </c>
      <c r="P109" s="4">
        <f t="shared" si="42"/>
        <v>0.20399999999999999</v>
      </c>
      <c r="Q109" s="11">
        <f t="shared" si="43"/>
        <v>2.04</v>
      </c>
      <c r="R109" s="10">
        <f t="shared" si="44"/>
        <v>0</v>
      </c>
    </row>
    <row r="110" spans="1:18" s="8" customFormat="1">
      <c r="A110" s="73">
        <v>3</v>
      </c>
      <c r="B110" s="73"/>
      <c r="C110" s="12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3">
        <f t="shared" ref="N110:N117" si="45">(IF(F110="OŽ",IF(L110=1,550.8,IF(L110=2,426.38,IF(L110=3,342.14,IF(L110=4,181.44,IF(L110=5,168.48,IF(L110=6,155.52,IF(L110=7,148.5,IF(L110=8,144,0))))))))+IF(L110&lt;=8,0,IF(L110&lt;=16,137.7,IF(L110&lt;=24,108,IF(L110&lt;=32,80.1,IF(L110&lt;=36,52.2,0)))))-IF(L110&lt;=8,0,IF(L110&lt;=16,(L110-9)*2.754,IF(L110&lt;=24,(L110-17)* 2.754,IF(L110&lt;=32,(L110-25)* 2.754,IF(L110&lt;=36,(L110-33)*2.754,0))))),0)+IF(F110="PČ",IF(L110=1,449,IF(L110=2,314.6,IF(L110=3,238,IF(L110=4,172,IF(L110=5,159,IF(L110=6,145,IF(L110=7,132,IF(L110=8,119,0))))))))+IF(L110&lt;=8,0,IF(L110&lt;=16,88,IF(L110&lt;=24,55,IF(L110&lt;=32,22,0))))-IF(L110&lt;=8,0,IF(L110&lt;=16,(L110-9)*2.245,IF(L110&lt;=24,(L110-17)*2.245,IF(L110&lt;=32,(L110-25)*2.245,0)))),0)+IF(F110="PČneol",IF(L110=1,85,IF(L110=2,64.61,IF(L110=3,50.76,IF(L110=4,16.25,IF(L110=5,15,IF(L110=6,13.75,IF(L110=7,12.5,IF(L110=8,11.25,0))))))))+IF(L110&lt;=8,0,IF(L110&lt;=16,9,0))-IF(L110&lt;=8,0,IF(L110&lt;=16,(L110-9)*0.425,0)),0)+IF(F110="PŽ",IF(L110=1,85,IF(L110=2,59.5,IF(L110=3,45,IF(L110=4,32.5,IF(L110=5,30,IF(L110=6,27.5,IF(L110=7,25,IF(L110=8,22.5,0))))))))+IF(L110&lt;=8,0,IF(L110&lt;=16,19,IF(L110&lt;=24,13,IF(L110&lt;=32,8,0))))-IF(L110&lt;=8,0,IF(L110&lt;=16,(L110-9)*0.425,IF(L110&lt;=24,(L110-17)*0.425,IF(L110&lt;=32,(L110-25)*0.425,0)))),0)+IF(F110="EČ",IF(L110=1,204,IF(L110=2,156.24,IF(L110=3,123.84,IF(L110=4,72,IF(L110=5,66,IF(L110=6,60,IF(L110=7,54,IF(L110=8,48,0))))))))+IF(L110&lt;=8,0,IF(L110&lt;=16,40,IF(L110&lt;=24,25,0)))-IF(L110&lt;=8,0,IF(L110&lt;=16,(L110-9)*1.02,IF(L110&lt;=24,(L110-17)*1.02,0))),0)+IF(F110="EČneol",IF(L110=1,68,IF(L110=2,51.69,IF(L110=3,40.61,IF(L110=4,13,IF(L110=5,12,IF(L110=6,11,IF(L110=7,10,IF(L110=8,9,0)))))))))+IF(F110="EŽ",IF(L110=1,68,IF(L110=2,47.6,IF(L110=3,36,IF(L110=4,18,IF(L110=5,16.5,IF(L110=6,15,IF(L110=7,13.5,IF(L110=8,12,0))))))))+IF(L110&lt;=8,0,IF(L110&lt;=16,10,IF(L110&lt;=24,6,0)))-IF(L110&lt;=8,0,IF(L110&lt;=16,(L110-9)*0.34,IF(L110&lt;=24,(L110-17)*0.34,0))),0)+IF(F110="PT",IF(L110=1,68,IF(L110=2,52.08,IF(L110=3,41.28,IF(L110=4,24,IF(L110=5,22,IF(L110=6,20,IF(L110=7,18,IF(L110=8,16,0))))))))+IF(L110&lt;=8,0,IF(L110&lt;=16,13,IF(L110&lt;=24,9,IF(L110&lt;=32,4,0))))-IF(L110&lt;=8,0,IF(L110&lt;=16,(L110-9)*0.34,IF(L110&lt;=24,(L110-17)*0.34,IF(L110&lt;=32,(L110-25)*0.34,0)))),0)+IF(F110="JOŽ",IF(L110=1,85,IF(L110=2,59.5,IF(L110=3,45,IF(L110=4,32.5,IF(L110=5,30,IF(L110=6,27.5,IF(L110=7,25,IF(L110=8,22.5,0))))))))+IF(L110&lt;=8,0,IF(L110&lt;=16,19,IF(L110&lt;=24,13,0)))-IF(L110&lt;=8,0,IF(L110&lt;=16,(L110-9)*0.425,IF(L110&lt;=24,(L110-17)*0.425,0))),0)+IF(F110="JPČ",IF(L110=1,68,IF(L110=2,47.6,IF(L110=3,36,IF(L110=4,26,IF(L110=5,24,IF(L110=6,22,IF(L110=7,20,IF(L110=8,18,0))))))))+IF(L110&lt;=8,0,IF(L110&lt;=16,13,IF(L110&lt;=24,9,0)))-IF(L110&lt;=8,0,IF(L110&lt;=16,(L110-9)*0.34,IF(L110&lt;=24,(L110-17)*0.34,0))),0)+IF(F110="JEČ",IF(L110=1,34,IF(L110=2,26.04,IF(L110=3,20.6,IF(L110=4,12,IF(L110=5,11,IF(L110=6,10,IF(L110=7,9,IF(L110=8,8,0))))))))+IF(L110&lt;=8,0,IF(L110&lt;=16,6,0))-IF(L110&lt;=8,0,IF(L110&lt;=16,(L110-9)*0.17,0)),0)+IF(F110="JEOF",IF(L110=1,34,IF(L110=2,26.04,IF(L110=3,20.6,IF(L110=4,12,IF(L110=5,11,IF(L110=6,10,IF(L110=7,9,IF(L110=8,8,0))))))))+IF(L110&lt;=8,0,IF(L110&lt;=16,6,0))-IF(L110&lt;=8,0,IF(L110&lt;=16,(L110-9)*0.17,0)),0)+IF(F110="JnPČ",IF(L110=1,51,IF(L110=2,35.7,IF(L110=3,27,IF(L110=4,19.5,IF(L110=5,18,IF(L110=6,16.5,IF(L110=7,15,IF(L110=8,13.5,0))))))))+IF(L110&lt;=8,0,IF(L110&lt;=16,10,0))-IF(L110&lt;=8,0,IF(L110&lt;=16,(L110-9)*0.255,0)),0)+IF(F110="JnEČ",IF(L110=1,25.5,IF(L110=2,19.53,IF(L110=3,15.48,IF(L110=4,9,IF(L110=5,8.25,IF(L110=6,7.5,IF(L110=7,6.75,IF(L110=8,6,0))))))))+IF(L110&lt;=8,0,IF(L110&lt;=16,5,0))-IF(L110&lt;=8,0,IF(L110&lt;=16,(L110-9)*0.1275,0)),0)+IF(F110="JčPČ",IF(L110=1,21.25,IF(L110=2,14.5,IF(L110=3,11.5,IF(L110=4,7,IF(L110=5,6.5,IF(L110=6,6,IF(L110=7,5.5,IF(L110=8,5,0))))))))+IF(L110&lt;=8,0,IF(L110&lt;=16,4,0))-IF(L110&lt;=8,0,IF(L110&lt;=16,(L110-9)*0.10625,0)),0)+IF(F110="JčEČ",IF(L110=1,17,IF(L110=2,13.02,IF(L110=3,10.32,IF(L110=4,6,IF(L110=5,5.5,IF(L110=6,5,IF(L110=7,4.5,IF(L110=8,4,0))))))))+IF(L110&lt;=8,0,IF(L110&lt;=16,3,0))-IF(L110&lt;=8,0,IF(L110&lt;=16,(L110-9)*0.085,0)),0)+IF(F110="NEAK",IF(L110=1,11.48,IF(L110=2,8.79,IF(L110=3,6.97,IF(L110=4,4.05,IF(L110=5,3.71,IF(L110=6,3.38,IF(L110=7,3.04,IF(L110=8,2.7,0))))))))+IF(L110&lt;=8,0,IF(L110&lt;=16,2,IF(L110&lt;=24,1.3,0)))-IF(L110&lt;=8,0,IF(L110&lt;=16,(L110-9)*0.0574,IF(L110&lt;=24,(L110-17)*0.0574,0))),0))*IF(L110&lt;0,1,IF(OR(F110="PČ",F110="PŽ",F110="PT"),IF(J110&lt;32,J110/32,1),1))* IF(L110&lt;0,1,IF(OR(F110="EČ",F110="EŽ",F110="JOŽ",F110="JPČ",F110="NEAK"),IF(J110&lt;24,J110/24,1),1))*IF(L110&lt;0,1,IF(OR(F110="PČneol",F110="JEČ",F110="JEOF",F110="JnPČ",F110="JnEČ",F110="JčPČ",F110="JčEČ"),IF(J110&lt;16,J110/16,1),1))*IF(L110&lt;0,1,IF(F110="EČneol",IF(J110&lt;8,J110/8,1),1))</f>
        <v>0</v>
      </c>
      <c r="O110" s="9">
        <f t="shared" ref="O110:O117" si="46">IF(F110="OŽ",N110,IF(H110="Ne",IF(J110*0.3&lt;J110-L110,N110,0),IF(J110*0.1&lt;J110-L110,N110,0)))</f>
        <v>0</v>
      </c>
      <c r="P110" s="4">
        <f t="shared" si="42"/>
        <v>0</v>
      </c>
      <c r="Q110" s="11">
        <f t="shared" si="43"/>
        <v>0</v>
      </c>
      <c r="R110" s="10">
        <f t="shared" ref="R110:R117" si="47">IF(Q110&lt;=30,O110+P110,O110+O110*0.3)*IF(G110=1,0.4,IF(G110=2,0.75,IF(G110="1 (kas 4 m. 1 k. nerengiamos)",0.52,1)))*IF(D110="olimpinė",1,IF(M110="Ne",0.5,1))*IF(OR(A$5="Lietuvos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federacija"),IF(OR(J110&lt;8,K110&lt;16),0,1),1)*E110*IF(I110&lt;=1,1,1/I110)*IF(OR(A$5="Lietuvos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11" spans="1:18" s="8" customFormat="1">
      <c r="A111" s="73">
        <v>4</v>
      </c>
      <c r="B111" s="73"/>
      <c r="C111" s="12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3">
        <f t="shared" si="45"/>
        <v>0</v>
      </c>
      <c r="O111" s="9">
        <f t="shared" si="46"/>
        <v>0</v>
      </c>
      <c r="P111" s="4">
        <f t="shared" si="42"/>
        <v>0</v>
      </c>
      <c r="Q111" s="11">
        <f t="shared" si="43"/>
        <v>0</v>
      </c>
      <c r="R111" s="10">
        <f t="shared" si="47"/>
        <v>0</v>
      </c>
    </row>
    <row r="112" spans="1:18" s="8" customFormat="1">
      <c r="A112" s="73">
        <v>5</v>
      </c>
      <c r="B112" s="73"/>
      <c r="C112" s="12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3">
        <f t="shared" si="45"/>
        <v>0</v>
      </c>
      <c r="O112" s="9">
        <f t="shared" si="46"/>
        <v>0</v>
      </c>
      <c r="P112" s="4">
        <f t="shared" si="42"/>
        <v>0</v>
      </c>
      <c r="Q112" s="11">
        <f t="shared" si="43"/>
        <v>0</v>
      </c>
      <c r="R112" s="10">
        <f t="shared" si="47"/>
        <v>0</v>
      </c>
    </row>
    <row r="113" spans="1:18" s="8" customFormat="1">
      <c r="A113" s="73">
        <v>6</v>
      </c>
      <c r="B113" s="73"/>
      <c r="C113" s="12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3">
        <f t="shared" si="45"/>
        <v>0</v>
      </c>
      <c r="O113" s="9">
        <f t="shared" si="46"/>
        <v>0</v>
      </c>
      <c r="P113" s="4">
        <f t="shared" si="42"/>
        <v>0</v>
      </c>
      <c r="Q113" s="11">
        <f t="shared" si="43"/>
        <v>0</v>
      </c>
      <c r="R113" s="10">
        <f t="shared" si="47"/>
        <v>0</v>
      </c>
    </row>
    <row r="114" spans="1:18" s="8" customFormat="1">
      <c r="A114" s="73">
        <v>7</v>
      </c>
      <c r="B114" s="73"/>
      <c r="C114" s="12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3">
        <f t="shared" si="45"/>
        <v>0</v>
      </c>
      <c r="O114" s="9">
        <f t="shared" si="46"/>
        <v>0</v>
      </c>
      <c r="P114" s="4">
        <f t="shared" si="42"/>
        <v>0</v>
      </c>
      <c r="Q114" s="11">
        <f t="shared" si="43"/>
        <v>0</v>
      </c>
      <c r="R114" s="10">
        <f t="shared" si="47"/>
        <v>0</v>
      </c>
    </row>
    <row r="115" spans="1:18" s="8" customFormat="1">
      <c r="A115" s="73">
        <v>8</v>
      </c>
      <c r="B115" s="73"/>
      <c r="C115" s="12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3">
        <f t="shared" si="45"/>
        <v>0</v>
      </c>
      <c r="O115" s="9">
        <f t="shared" si="46"/>
        <v>0</v>
      </c>
      <c r="P115" s="4">
        <f t="shared" si="42"/>
        <v>0</v>
      </c>
      <c r="Q115" s="11">
        <f t="shared" si="43"/>
        <v>0</v>
      </c>
      <c r="R115" s="10">
        <f t="shared" si="47"/>
        <v>0</v>
      </c>
    </row>
    <row r="116" spans="1:18" s="8" customFormat="1">
      <c r="A116" s="73">
        <v>9</v>
      </c>
      <c r="B116" s="73"/>
      <c r="C116" s="12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3">
        <f t="shared" si="45"/>
        <v>0</v>
      </c>
      <c r="O116" s="9">
        <f t="shared" si="46"/>
        <v>0</v>
      </c>
      <c r="P116" s="4">
        <f t="shared" si="42"/>
        <v>0</v>
      </c>
      <c r="Q116" s="11">
        <f t="shared" si="43"/>
        <v>0</v>
      </c>
      <c r="R116" s="10">
        <f t="shared" si="47"/>
        <v>0</v>
      </c>
    </row>
    <row r="117" spans="1:18" s="8" customFormat="1">
      <c r="A117" s="73">
        <v>10</v>
      </c>
      <c r="B117" s="73"/>
      <c r="C117" s="12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3">
        <f t="shared" si="45"/>
        <v>0</v>
      </c>
      <c r="O117" s="9">
        <f t="shared" si="46"/>
        <v>0</v>
      </c>
      <c r="P117" s="4">
        <f t="shared" si="42"/>
        <v>0</v>
      </c>
      <c r="Q117" s="11">
        <f t="shared" si="43"/>
        <v>0</v>
      </c>
      <c r="R117" s="10">
        <f t="shared" si="47"/>
        <v>0</v>
      </c>
    </row>
    <row r="118" spans="1:18" s="8" customFormat="1" ht="15" customHeight="1">
      <c r="A118" s="82" t="s">
        <v>36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4"/>
      <c r="R118" s="10">
        <f>SUM(R108:R117)</f>
        <v>11.613840000000001</v>
      </c>
    </row>
    <row r="119" spans="1:18" s="8" customFormat="1" ht="15.75">
      <c r="A119" s="24" t="s">
        <v>37</v>
      </c>
      <c r="B119" s="2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</row>
    <row r="120" spans="1:18" s="8" customFormat="1">
      <c r="A120" s="49" t="s">
        <v>49</v>
      </c>
      <c r="B120" s="49"/>
      <c r="C120" s="49"/>
      <c r="D120" s="49"/>
      <c r="E120" s="49"/>
      <c r="F120" s="49"/>
      <c r="G120" s="49"/>
      <c r="H120" s="49"/>
      <c r="I120" s="49"/>
      <c r="J120" s="56"/>
      <c r="K120" s="56"/>
      <c r="L120" s="56"/>
      <c r="M120" s="56"/>
      <c r="N120" s="56"/>
      <c r="O120" s="56"/>
      <c r="P120" s="56"/>
      <c r="Q120" s="56"/>
      <c r="R120" s="57"/>
    </row>
    <row r="121" spans="1:18" s="8" customFormat="1">
      <c r="A121" s="49"/>
      <c r="B121" s="49"/>
      <c r="C121" s="49"/>
      <c r="D121" s="49"/>
      <c r="E121" s="49"/>
      <c r="F121" s="49"/>
      <c r="G121" s="49"/>
      <c r="H121" s="49"/>
      <c r="I121" s="49"/>
      <c r="J121" s="56"/>
      <c r="K121" s="56"/>
      <c r="L121" s="56"/>
      <c r="M121" s="56"/>
      <c r="N121" s="56"/>
      <c r="O121" s="56"/>
      <c r="P121" s="56"/>
      <c r="Q121" s="56"/>
      <c r="R121" s="57"/>
    </row>
    <row r="122" spans="1:18" s="8" customFormat="1" ht="15" customHeight="1">
      <c r="A122" s="76" t="s">
        <v>67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68"/>
    </row>
    <row r="123" spans="1:18" s="8" customFormat="1" ht="18">
      <c r="A123" s="78" t="s">
        <v>27</v>
      </c>
      <c r="B123" s="79"/>
      <c r="C123" s="79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68"/>
    </row>
    <row r="124" spans="1:18" s="8" customFormat="1">
      <c r="A124" s="80" t="s">
        <v>68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68"/>
    </row>
    <row r="125" spans="1:18" s="8" customFormat="1">
      <c r="A125" s="73">
        <v>1</v>
      </c>
      <c r="B125" s="73" t="s">
        <v>69</v>
      </c>
      <c r="C125" s="12" t="s">
        <v>30</v>
      </c>
      <c r="D125" s="73" t="s">
        <v>45</v>
      </c>
      <c r="E125" s="73">
        <v>1</v>
      </c>
      <c r="F125" s="73" t="s">
        <v>70</v>
      </c>
      <c r="G125" s="73">
        <v>1</v>
      </c>
      <c r="H125" s="73" t="s">
        <v>33</v>
      </c>
      <c r="I125" s="73"/>
      <c r="J125" s="73">
        <v>154</v>
      </c>
      <c r="K125" s="73">
        <v>20</v>
      </c>
      <c r="L125" s="73">
        <v>14</v>
      </c>
      <c r="M125" s="73"/>
      <c r="N125" s="3">
        <f t="shared" ref="N125" si="48">(IF(F125="OŽ",IF(L125=1,550.8,IF(L125=2,426.38,IF(L125=3,342.14,IF(L125=4,181.44,IF(L125=5,168.48,IF(L125=6,155.52,IF(L125=7,148.5,IF(L125=8,144,0))))))))+IF(L125&lt;=8,0,IF(L125&lt;=16,137.7,IF(L125&lt;=24,108,IF(L125&lt;=32,80.1,IF(L125&lt;=36,52.2,0)))))-IF(L125&lt;=8,0,IF(L125&lt;=16,(L125-9)*2.754,IF(L125&lt;=24,(L125-17)* 2.754,IF(L125&lt;=32,(L125-25)* 2.754,IF(L125&lt;=36,(L125-33)*2.754,0))))),0)+IF(F125="PČ",IF(L125=1,449,IF(L125=2,314.6,IF(L125=3,238,IF(L125=4,172,IF(L125=5,159,IF(L125=6,145,IF(L125=7,132,IF(L125=8,119,0))))))))+IF(L125&lt;=8,0,IF(L125&lt;=16,88,IF(L125&lt;=24,55,IF(L125&lt;=32,22,0))))-IF(L125&lt;=8,0,IF(L125&lt;=16,(L125-9)*2.245,IF(L125&lt;=24,(L125-17)*2.245,IF(L125&lt;=32,(L125-25)*2.245,0)))),0)+IF(F125="PČneol",IF(L125=1,85,IF(L125=2,64.61,IF(L125=3,50.76,IF(L125=4,16.25,IF(L125=5,15,IF(L125=6,13.75,IF(L125=7,12.5,IF(L125=8,11.25,0))))))))+IF(L125&lt;=8,0,IF(L125&lt;=16,9,0))-IF(L125&lt;=8,0,IF(L125&lt;=16,(L125-9)*0.425,0)),0)+IF(F125="PŽ",IF(L125=1,85,IF(L125=2,59.5,IF(L125=3,45,IF(L125=4,32.5,IF(L125=5,30,IF(L125=6,27.5,IF(L125=7,25,IF(L125=8,22.5,0))))))))+IF(L125&lt;=8,0,IF(L125&lt;=16,19,IF(L125&lt;=24,13,IF(L125&lt;=32,8,0))))-IF(L125&lt;=8,0,IF(L125&lt;=16,(L125-9)*0.425,IF(L125&lt;=24,(L125-17)*0.425,IF(L125&lt;=32,(L125-25)*0.425,0)))),0)+IF(F125="EČ",IF(L125=1,204,IF(L125=2,156.24,IF(L125=3,123.84,IF(L125=4,72,IF(L125=5,66,IF(L125=6,60,IF(L125=7,54,IF(L125=8,48,0))))))))+IF(L125&lt;=8,0,IF(L125&lt;=16,40,IF(L125&lt;=24,25,0)))-IF(L125&lt;=8,0,IF(L125&lt;=16,(L125-9)*1.02,IF(L125&lt;=24,(L125-17)*1.02,0))),0)+IF(F125="EČneol",IF(L125=1,68,IF(L125=2,51.69,IF(L125=3,40.61,IF(L125=4,13,IF(L125=5,12,IF(L125=6,11,IF(L125=7,10,IF(L125=8,9,0)))))))))+IF(F125="EŽ",IF(L125=1,68,IF(L125=2,47.6,IF(L125=3,36,IF(L125=4,18,IF(L125=5,16.5,IF(L125=6,15,IF(L125=7,13.5,IF(L125=8,12,0))))))))+IF(L125&lt;=8,0,IF(L125&lt;=16,10,IF(L125&lt;=24,6,0)))-IF(L125&lt;=8,0,IF(L125&lt;=16,(L125-9)*0.34,IF(L125&lt;=24,(L125-17)*0.34,0))),0)+IF(F125="PT",IF(L125=1,68,IF(L125=2,52.08,IF(L125=3,41.28,IF(L125=4,24,IF(L125=5,22,IF(L125=6,20,IF(L125=7,18,IF(L125=8,16,0))))))))+IF(L125&lt;=8,0,IF(L125&lt;=16,13,IF(L125&lt;=24,9,IF(L125&lt;=32,4,0))))-IF(L125&lt;=8,0,IF(L125&lt;=16,(L125-9)*0.34,IF(L125&lt;=24,(L125-17)*0.34,IF(L125&lt;=32,(L125-25)*0.34,0)))),0)+IF(F125="JOŽ",IF(L125=1,85,IF(L125=2,59.5,IF(L125=3,45,IF(L125=4,32.5,IF(L125=5,30,IF(L125=6,27.5,IF(L125=7,25,IF(L125=8,22.5,0))))))))+IF(L125&lt;=8,0,IF(L125&lt;=16,19,IF(L125&lt;=24,13,0)))-IF(L125&lt;=8,0,IF(L125&lt;=16,(L125-9)*0.425,IF(L125&lt;=24,(L125-17)*0.425,0))),0)+IF(F125="JPČ",IF(L125=1,68,IF(L125=2,47.6,IF(L125=3,36,IF(L125=4,26,IF(L125=5,24,IF(L125=6,22,IF(L125=7,20,IF(L125=8,18,0))))))))+IF(L125&lt;=8,0,IF(L125&lt;=16,13,IF(L125&lt;=24,9,0)))-IF(L125&lt;=8,0,IF(L125&lt;=16,(L125-9)*0.34,IF(L125&lt;=24,(L125-17)*0.34,0))),0)+IF(F125="JEČ",IF(L125=1,34,IF(L125=2,26.04,IF(L125=3,20.6,IF(L125=4,12,IF(L125=5,11,IF(L125=6,10,IF(L125=7,9,IF(L125=8,8,0))))))))+IF(L125&lt;=8,0,IF(L125&lt;=16,6,0))-IF(L125&lt;=8,0,IF(L125&lt;=16,(L125-9)*0.17,0)),0)+IF(F125="JEOF",IF(L125=1,34,IF(L125=2,26.04,IF(L125=3,20.6,IF(L125=4,12,IF(L125=5,11,IF(L125=6,10,IF(L125=7,9,IF(L125=8,8,0))))))))+IF(L125&lt;=8,0,IF(L125&lt;=16,6,0))-IF(L125&lt;=8,0,IF(L125&lt;=16,(L125-9)*0.17,0)),0)+IF(F125="JnPČ",IF(L125=1,51,IF(L125=2,35.7,IF(L125=3,27,IF(L125=4,19.5,IF(L125=5,18,IF(L125=6,16.5,IF(L125=7,15,IF(L125=8,13.5,0))))))))+IF(L125&lt;=8,0,IF(L125&lt;=16,10,0))-IF(L125&lt;=8,0,IF(L125&lt;=16,(L125-9)*0.255,0)),0)+IF(F125="JnEČ",IF(L125=1,25.5,IF(L125=2,19.53,IF(L125=3,15.48,IF(L125=4,9,IF(L125=5,8.25,IF(L125=6,7.5,IF(L125=7,6.75,IF(L125=8,6,0))))))))+IF(L125&lt;=8,0,IF(L125&lt;=16,5,0))-IF(L125&lt;=8,0,IF(L125&lt;=16,(L125-9)*0.1275,0)),0)+IF(F125="JčPČ",IF(L125=1,21.25,IF(L125=2,14.5,IF(L125=3,11.5,IF(L125=4,7,IF(L125=5,6.5,IF(L125=6,6,IF(L125=7,5.5,IF(L125=8,5,0))))))))+IF(L125&lt;=8,0,IF(L125&lt;=16,4,0))-IF(L125&lt;=8,0,IF(L125&lt;=16,(L125-9)*0.10625,0)),0)+IF(F125="JčEČ",IF(L125=1,17,IF(L125=2,13.02,IF(L125=3,10.32,IF(L125=4,6,IF(L125=5,5.5,IF(L125=6,5,IF(L125=7,4.5,IF(L125=8,4,0))))))))+IF(L125&lt;=8,0,IF(L125&lt;=16,3,0))-IF(L125&lt;=8,0,IF(L125&lt;=16,(L125-9)*0.085,0)),0)+IF(F125="NEAK",IF(L125=1,11.48,IF(L125=2,8.79,IF(L125=3,6.97,IF(L125=4,4.05,IF(L125=5,3.71,IF(L125=6,3.38,IF(L125=7,3.04,IF(L125=8,2.7,0))))))))+IF(L125&lt;=8,0,IF(L125&lt;=16,2,IF(L125&lt;=24,1.3,0)))-IF(L125&lt;=8,0,IF(L125&lt;=16,(L125-9)*0.0574,IF(L125&lt;=24,(L125-17)*0.0574,0))),0))*IF(L125&lt;4,1,IF(OR(F125="PČ",F125="PŽ",F125="PT"),IF(J125&lt;32,J125/32,1),1))* IF(L125&lt;4,1,IF(OR(F125="EČ",F125="EŽ",F125="JOŽ",F125="JPČ",F125="NEAK"),IF(J125&lt;24,J125/24,1),1))*IF(L125&lt;4,1,IF(OR(F125="PČneol",F125="JEČ",F125="JEOF",F125="JnPČ",F125="JnEČ",F125="JčPČ",F125="JčEČ"),IF(J125&lt;16,J125/16,1),1))*IF(L125&lt;4,1,IF(F125="EČneol",IF(J125&lt;8,J125/8,1),1))</f>
        <v>5.15</v>
      </c>
      <c r="O125" s="9">
        <f t="shared" ref="O125" si="49">IF(F125="OŽ",N125,IF(H125="Ne",IF(J125*0.3&lt;=J125-L125,N125,0),IF(J125*0.1&lt;=J125-L125,N125,0)))</f>
        <v>5.15</v>
      </c>
      <c r="P125" s="4">
        <f t="shared" ref="P125:P134" si="50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0.20399999999999999</v>
      </c>
      <c r="Q125" s="11">
        <f t="shared" ref="Q125:Q134" si="51">IF(ISERROR(P125*100/N125),0,(P125*100/N125))</f>
        <v>3.9611650485436889</v>
      </c>
      <c r="R125" s="10">
        <f t="shared" ref="R125" si="52">IF(Q125&lt;=30,O125+P125,O125+O125*0.3)*IF(G125=1,0.4,IF(G125=2,0.75,IF(G125="1 (kas 4 m. 1 k. nerengiamos)",0.52,1)))*IF(D125="olimpinė",1,IF(M125="Ne",0.5,1))*IF(D125="olimpinė",1,IF(J125&lt;8,0,1))*E125*IF(D125="olimpinė",1,IF(K125&lt;16,0,1))*IF(I125&lt;=1,1,1/I125)*IF(OR(A$5="Lietuvos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2.2486800000000002</v>
      </c>
    </row>
    <row r="126" spans="1:18" s="8" customFormat="1">
      <c r="A126" s="73">
        <v>2</v>
      </c>
      <c r="B126" s="73"/>
      <c r="C126" s="12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3">
        <f t="shared" ref="N126:N134" si="53">(IF(F126="OŽ",IF(L126=1,550.8,IF(L126=2,426.38,IF(L126=3,342.14,IF(L126=4,181.44,IF(L126=5,168.48,IF(L126=6,155.52,IF(L126=7,148.5,IF(L126=8,144,0))))))))+IF(L126&lt;=8,0,IF(L126&lt;=16,137.7,IF(L126&lt;=24,108,IF(L126&lt;=32,80.1,IF(L126&lt;=36,52.2,0)))))-IF(L126&lt;=8,0,IF(L126&lt;=16,(L126-9)*2.754,IF(L126&lt;=24,(L126-17)* 2.754,IF(L126&lt;=32,(L126-25)* 2.754,IF(L126&lt;=36,(L126-33)*2.754,0))))),0)+IF(F126="PČ",IF(L126=1,449,IF(L126=2,314.6,IF(L126=3,238,IF(L126=4,172,IF(L126=5,159,IF(L126=6,145,IF(L126=7,132,IF(L126=8,119,0))))))))+IF(L126&lt;=8,0,IF(L126&lt;=16,88,IF(L126&lt;=24,55,IF(L126&lt;=32,22,0))))-IF(L126&lt;=8,0,IF(L126&lt;=16,(L126-9)*2.245,IF(L126&lt;=24,(L126-17)*2.245,IF(L126&lt;=32,(L126-25)*2.245,0)))),0)+IF(F126="PČneol",IF(L126=1,85,IF(L126=2,64.61,IF(L126=3,50.76,IF(L126=4,16.25,IF(L126=5,15,IF(L126=6,13.75,IF(L126=7,12.5,IF(L126=8,11.25,0))))))))+IF(L126&lt;=8,0,IF(L126&lt;=16,9,0))-IF(L126&lt;=8,0,IF(L126&lt;=16,(L126-9)*0.425,0)),0)+IF(F126="PŽ",IF(L126=1,85,IF(L126=2,59.5,IF(L126=3,45,IF(L126=4,32.5,IF(L126=5,30,IF(L126=6,27.5,IF(L126=7,25,IF(L126=8,22.5,0))))))))+IF(L126&lt;=8,0,IF(L126&lt;=16,19,IF(L126&lt;=24,13,IF(L126&lt;=32,8,0))))-IF(L126&lt;=8,0,IF(L126&lt;=16,(L126-9)*0.425,IF(L126&lt;=24,(L126-17)*0.425,IF(L126&lt;=32,(L126-25)*0.425,0)))),0)+IF(F126="EČ",IF(L126=1,204,IF(L126=2,156.24,IF(L126=3,123.84,IF(L126=4,72,IF(L126=5,66,IF(L126=6,60,IF(L126=7,54,IF(L126=8,48,0))))))))+IF(L126&lt;=8,0,IF(L126&lt;=16,40,IF(L126&lt;=24,25,0)))-IF(L126&lt;=8,0,IF(L126&lt;=16,(L126-9)*1.02,IF(L126&lt;=24,(L126-17)*1.02,0))),0)+IF(F126="EČneol",IF(L126=1,68,IF(L126=2,51.69,IF(L126=3,40.61,IF(L126=4,13,IF(L126=5,12,IF(L126=6,11,IF(L126=7,10,IF(L126=8,9,0)))))))))+IF(F126="EŽ",IF(L126=1,68,IF(L126=2,47.6,IF(L126=3,36,IF(L126=4,18,IF(L126=5,16.5,IF(L126=6,15,IF(L126=7,13.5,IF(L126=8,12,0))))))))+IF(L126&lt;=8,0,IF(L126&lt;=16,10,IF(L126&lt;=24,6,0)))-IF(L126&lt;=8,0,IF(L126&lt;=16,(L126-9)*0.34,IF(L126&lt;=24,(L126-17)*0.34,0))),0)+IF(F126="PT",IF(L126=1,68,IF(L126=2,52.08,IF(L126=3,41.28,IF(L126=4,24,IF(L126=5,22,IF(L126=6,20,IF(L126=7,18,IF(L126=8,16,0))))))))+IF(L126&lt;=8,0,IF(L126&lt;=16,13,IF(L126&lt;=24,9,IF(L126&lt;=32,4,0))))-IF(L126&lt;=8,0,IF(L126&lt;=16,(L126-9)*0.34,IF(L126&lt;=24,(L126-17)*0.34,IF(L126&lt;=32,(L126-25)*0.34,0)))),0)+IF(F126="JOŽ",IF(L126=1,85,IF(L126=2,59.5,IF(L126=3,45,IF(L126=4,32.5,IF(L126=5,30,IF(L126=6,27.5,IF(L126=7,25,IF(L126=8,22.5,0))))))))+IF(L126&lt;=8,0,IF(L126&lt;=16,19,IF(L126&lt;=24,13,0)))-IF(L126&lt;=8,0,IF(L126&lt;=16,(L126-9)*0.425,IF(L126&lt;=24,(L126-17)*0.425,0))),0)+IF(F126="JPČ",IF(L126=1,68,IF(L126=2,47.6,IF(L126=3,36,IF(L126=4,26,IF(L126=5,24,IF(L126=6,22,IF(L126=7,20,IF(L126=8,18,0))))))))+IF(L126&lt;=8,0,IF(L126&lt;=16,13,IF(L126&lt;=24,9,0)))-IF(L126&lt;=8,0,IF(L126&lt;=16,(L126-9)*0.34,IF(L126&lt;=24,(L126-17)*0.34,0))),0)+IF(F126="JEČ",IF(L126=1,34,IF(L126=2,26.04,IF(L126=3,20.6,IF(L126=4,12,IF(L126=5,11,IF(L126=6,10,IF(L126=7,9,IF(L126=8,8,0))))))))+IF(L126&lt;=8,0,IF(L126&lt;=16,6,0))-IF(L126&lt;=8,0,IF(L126&lt;=16,(L126-9)*0.17,0)),0)+IF(F126="JEOF",IF(L126=1,34,IF(L126=2,26.04,IF(L126=3,20.6,IF(L126=4,12,IF(L126=5,11,IF(L126=6,10,IF(L126=7,9,IF(L126=8,8,0))))))))+IF(L126&lt;=8,0,IF(L126&lt;=16,6,0))-IF(L126&lt;=8,0,IF(L126&lt;=16,(L126-9)*0.17,0)),0)+IF(F126="JnPČ",IF(L126=1,51,IF(L126=2,35.7,IF(L126=3,27,IF(L126=4,19.5,IF(L126=5,18,IF(L126=6,16.5,IF(L126=7,15,IF(L126=8,13.5,0))))))))+IF(L126&lt;=8,0,IF(L126&lt;=16,10,0))-IF(L126&lt;=8,0,IF(L126&lt;=16,(L126-9)*0.255,0)),0)+IF(F126="JnEČ",IF(L126=1,25.5,IF(L126=2,19.53,IF(L126=3,15.48,IF(L126=4,9,IF(L126=5,8.25,IF(L126=6,7.5,IF(L126=7,6.75,IF(L126=8,6,0))))))))+IF(L126&lt;=8,0,IF(L126&lt;=16,5,0))-IF(L126&lt;=8,0,IF(L126&lt;=16,(L126-9)*0.1275,0)),0)+IF(F126="JčPČ",IF(L126=1,21.25,IF(L126=2,14.5,IF(L126=3,11.5,IF(L126=4,7,IF(L126=5,6.5,IF(L126=6,6,IF(L126=7,5.5,IF(L126=8,5,0))))))))+IF(L126&lt;=8,0,IF(L126&lt;=16,4,0))-IF(L126&lt;=8,0,IF(L126&lt;=16,(L126-9)*0.10625,0)),0)+IF(F126="JčEČ",IF(L126=1,17,IF(L126=2,13.02,IF(L126=3,10.32,IF(L126=4,6,IF(L126=5,5.5,IF(L126=6,5,IF(L126=7,4.5,IF(L126=8,4,0))))))))+IF(L126&lt;=8,0,IF(L126&lt;=16,3,0))-IF(L126&lt;=8,0,IF(L126&lt;=16,(L126-9)*0.085,0)),0)+IF(F126="NEAK",IF(L126=1,11.48,IF(L126=2,8.79,IF(L126=3,6.97,IF(L126=4,4.05,IF(L126=5,3.71,IF(L126=6,3.38,IF(L126=7,3.04,IF(L126=8,2.7,0))))))))+IF(L126&lt;=8,0,IF(L126&lt;=16,2,IF(L126&lt;=24,1.3,0)))-IF(L126&lt;=8,0,IF(L126&lt;=16,(L126-9)*0.0574,IF(L126&lt;=24,(L126-17)*0.0574,0))),0))*IF(L126&lt;0,1,IF(OR(F126="PČ",F126="PŽ",F126="PT"),IF(J126&lt;32,J126/32,1),1))* IF(L126&lt;0,1,IF(OR(F126="EČ",F126="EŽ",F126="JOŽ",F126="JPČ",F126="NEAK"),IF(J126&lt;24,J126/24,1),1))*IF(L126&lt;0,1,IF(OR(F126="PČneol",F126="JEČ",F126="JEOF",F126="JnPČ",F126="JnEČ",F126="JčPČ",F126="JčEČ"),IF(J126&lt;16,J126/16,1),1))*IF(L126&lt;0,1,IF(F126="EČneol",IF(J126&lt;8,J126/8,1),1))</f>
        <v>0</v>
      </c>
      <c r="O126" s="9">
        <f t="shared" ref="O126:O134" si="54">IF(F126="OŽ",N126,IF(H126="Ne",IF(J126*0.3&lt;J126-L126,N126,0),IF(J126*0.1&lt;J126-L126,N126,0)))</f>
        <v>0</v>
      </c>
      <c r="P126" s="4">
        <f t="shared" si="50"/>
        <v>0</v>
      </c>
      <c r="Q126" s="11">
        <f t="shared" si="51"/>
        <v>0</v>
      </c>
      <c r="R126" s="10">
        <f t="shared" ref="R126:R134" si="55">IF(Q126&lt;=30,O126+P126,O126+O126*0.3)*IF(G126=1,0.4,IF(G126=2,0.75,IF(G126="1 (kas 4 m. 1 k. nerengiamos)",0.52,1)))*IF(D126="olimpinė",1,IF(M126="Ne",0.5,1))*IF(OR(A$5="Lietuvos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federacija"),IF(OR(J126&lt;8,K126&lt;16),0,1),1)*E126*IF(I126&lt;=1,1,1/I126)*IF(OR(A$5="Lietuvos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7" spans="1:18" s="8" customFormat="1">
      <c r="A127" s="73">
        <v>3</v>
      </c>
      <c r="B127" s="73"/>
      <c r="C127" s="12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3">
        <f t="shared" si="53"/>
        <v>0</v>
      </c>
      <c r="O127" s="9">
        <f t="shared" si="54"/>
        <v>0</v>
      </c>
      <c r="P127" s="4">
        <f t="shared" si="50"/>
        <v>0</v>
      </c>
      <c r="Q127" s="11">
        <f t="shared" si="51"/>
        <v>0</v>
      </c>
      <c r="R127" s="10">
        <f t="shared" si="55"/>
        <v>0</v>
      </c>
    </row>
    <row r="128" spans="1:18" s="8" customFormat="1">
      <c r="A128" s="73">
        <v>4</v>
      </c>
      <c r="B128" s="73"/>
      <c r="C128" s="12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3">
        <f t="shared" si="53"/>
        <v>0</v>
      </c>
      <c r="O128" s="9">
        <f t="shared" si="54"/>
        <v>0</v>
      </c>
      <c r="P128" s="4">
        <f t="shared" si="50"/>
        <v>0</v>
      </c>
      <c r="Q128" s="11">
        <f t="shared" si="51"/>
        <v>0</v>
      </c>
      <c r="R128" s="10">
        <f t="shared" si="55"/>
        <v>0</v>
      </c>
    </row>
    <row r="129" spans="1:18" s="8" customFormat="1">
      <c r="A129" s="73">
        <v>5</v>
      </c>
      <c r="B129" s="73"/>
      <c r="C129" s="12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3">
        <f t="shared" si="53"/>
        <v>0</v>
      </c>
      <c r="O129" s="9">
        <f t="shared" si="54"/>
        <v>0</v>
      </c>
      <c r="P129" s="4">
        <f t="shared" si="50"/>
        <v>0</v>
      </c>
      <c r="Q129" s="11">
        <f t="shared" si="51"/>
        <v>0</v>
      </c>
      <c r="R129" s="10">
        <f t="shared" si="55"/>
        <v>0</v>
      </c>
    </row>
    <row r="130" spans="1:18" s="8" customFormat="1">
      <c r="A130" s="73">
        <v>6</v>
      </c>
      <c r="B130" s="73"/>
      <c r="C130" s="12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3">
        <f t="shared" si="53"/>
        <v>0</v>
      </c>
      <c r="O130" s="9">
        <f t="shared" si="54"/>
        <v>0</v>
      </c>
      <c r="P130" s="4">
        <f t="shared" si="50"/>
        <v>0</v>
      </c>
      <c r="Q130" s="11">
        <f t="shared" si="51"/>
        <v>0</v>
      </c>
      <c r="R130" s="10">
        <f t="shared" si="55"/>
        <v>0</v>
      </c>
    </row>
    <row r="131" spans="1:18" s="8" customFormat="1">
      <c r="A131" s="73">
        <v>7</v>
      </c>
      <c r="B131" s="73"/>
      <c r="C131" s="12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3">
        <f t="shared" si="53"/>
        <v>0</v>
      </c>
      <c r="O131" s="9">
        <f t="shared" si="54"/>
        <v>0</v>
      </c>
      <c r="P131" s="4">
        <f t="shared" si="50"/>
        <v>0</v>
      </c>
      <c r="Q131" s="11">
        <f t="shared" si="51"/>
        <v>0</v>
      </c>
      <c r="R131" s="10">
        <f t="shared" si="55"/>
        <v>0</v>
      </c>
    </row>
    <row r="132" spans="1:18" s="8" customFormat="1">
      <c r="A132" s="73">
        <v>8</v>
      </c>
      <c r="B132" s="73"/>
      <c r="C132" s="12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3">
        <f t="shared" si="53"/>
        <v>0</v>
      </c>
      <c r="O132" s="9">
        <f t="shared" si="54"/>
        <v>0</v>
      </c>
      <c r="P132" s="4">
        <f t="shared" si="50"/>
        <v>0</v>
      </c>
      <c r="Q132" s="11">
        <f t="shared" si="51"/>
        <v>0</v>
      </c>
      <c r="R132" s="10">
        <f t="shared" si="55"/>
        <v>0</v>
      </c>
    </row>
    <row r="133" spans="1:18" s="8" customFormat="1">
      <c r="A133" s="73">
        <v>9</v>
      </c>
      <c r="B133" s="73"/>
      <c r="C133" s="12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3">
        <f t="shared" si="53"/>
        <v>0</v>
      </c>
      <c r="O133" s="9">
        <f t="shared" si="54"/>
        <v>0</v>
      </c>
      <c r="P133" s="4">
        <f t="shared" si="50"/>
        <v>0</v>
      </c>
      <c r="Q133" s="11">
        <f t="shared" si="51"/>
        <v>0</v>
      </c>
      <c r="R133" s="10">
        <f t="shared" si="55"/>
        <v>0</v>
      </c>
    </row>
    <row r="134" spans="1:18" s="8" customFormat="1">
      <c r="A134" s="73">
        <v>10</v>
      </c>
      <c r="B134" s="73"/>
      <c r="C134" s="12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3">
        <f t="shared" si="53"/>
        <v>0</v>
      </c>
      <c r="O134" s="9">
        <f t="shared" si="54"/>
        <v>0</v>
      </c>
      <c r="P134" s="4">
        <f t="shared" si="50"/>
        <v>0</v>
      </c>
      <c r="Q134" s="11">
        <f t="shared" si="51"/>
        <v>0</v>
      </c>
      <c r="R134" s="10">
        <f t="shared" si="55"/>
        <v>0</v>
      </c>
    </row>
    <row r="135" spans="1:18" s="8" customFormat="1">
      <c r="A135" s="82" t="s">
        <v>36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/>
      <c r="R135" s="10">
        <f>SUM(R125:R134)</f>
        <v>2.2486800000000002</v>
      </c>
    </row>
    <row r="136" spans="1:18" s="8" customFormat="1" ht="15.75">
      <c r="A136" s="24" t="s">
        <v>37</v>
      </c>
      <c r="B136" s="24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</row>
    <row r="137" spans="1:18" s="8" customFormat="1">
      <c r="A137" s="49" t="s">
        <v>49</v>
      </c>
      <c r="B137" s="49"/>
      <c r="C137" s="49"/>
      <c r="D137" s="49"/>
      <c r="E137" s="49"/>
      <c r="F137" s="49"/>
      <c r="G137" s="49"/>
      <c r="H137" s="49"/>
      <c r="I137" s="49"/>
      <c r="J137" s="56"/>
      <c r="K137" s="56"/>
      <c r="L137" s="56"/>
      <c r="M137" s="56"/>
      <c r="N137" s="56"/>
      <c r="O137" s="56"/>
      <c r="P137" s="56"/>
      <c r="Q137" s="56"/>
      <c r="R137" s="57"/>
    </row>
    <row r="138" spans="1:18" s="8" customFormat="1">
      <c r="A138" s="49"/>
      <c r="B138" s="49"/>
      <c r="C138" s="49"/>
      <c r="D138" s="49"/>
      <c r="E138" s="49"/>
      <c r="F138" s="49"/>
      <c r="G138" s="49"/>
      <c r="H138" s="49"/>
      <c r="I138" s="49"/>
      <c r="J138" s="56"/>
      <c r="K138" s="56"/>
      <c r="L138" s="56"/>
      <c r="M138" s="56"/>
      <c r="N138" s="56"/>
      <c r="O138" s="56"/>
      <c r="P138" s="56"/>
      <c r="Q138" s="56"/>
      <c r="R138" s="57"/>
    </row>
    <row r="139" spans="1:18" s="8" customFormat="1" ht="15" customHeight="1">
      <c r="A139" s="99" t="s">
        <v>71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68"/>
    </row>
    <row r="140" spans="1:18" s="8" customFormat="1" ht="18">
      <c r="A140" s="78" t="s">
        <v>27</v>
      </c>
      <c r="B140" s="79"/>
      <c r="C140" s="79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68"/>
    </row>
    <row r="141" spans="1:18" s="8" customFormat="1" ht="15" customHeight="1">
      <c r="A141" s="80" t="s">
        <v>72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68"/>
    </row>
    <row r="142" spans="1:18" s="8" customFormat="1">
      <c r="A142" s="73">
        <v>1</v>
      </c>
      <c r="B142" s="73" t="s">
        <v>73</v>
      </c>
      <c r="C142" s="12" t="s">
        <v>35</v>
      </c>
      <c r="D142" s="73" t="s">
        <v>31</v>
      </c>
      <c r="E142" s="73">
        <v>1</v>
      </c>
      <c r="F142" s="73" t="s">
        <v>74</v>
      </c>
      <c r="G142" s="73">
        <v>1</v>
      </c>
      <c r="H142" s="73" t="s">
        <v>33</v>
      </c>
      <c r="I142" s="73"/>
      <c r="J142" s="73">
        <v>27</v>
      </c>
      <c r="K142" s="73">
        <v>12</v>
      </c>
      <c r="L142" s="73">
        <v>19</v>
      </c>
      <c r="M142" s="73"/>
      <c r="N142" s="3">
        <f t="shared" ref="N142" si="56">(IF(F142="OŽ",IF(L142=1,550.8,IF(L142=2,426.38,IF(L142=3,342.14,IF(L142=4,181.44,IF(L142=5,168.48,IF(L142=6,155.52,IF(L142=7,148.5,IF(L142=8,144,0))))))))+IF(L142&lt;=8,0,IF(L142&lt;=16,137.7,IF(L142&lt;=24,108,IF(L142&lt;=32,80.1,IF(L142&lt;=36,52.2,0)))))-IF(L142&lt;=8,0,IF(L142&lt;=16,(L142-9)*2.754,IF(L142&lt;=24,(L142-17)* 2.754,IF(L142&lt;=32,(L142-25)* 2.754,IF(L142&lt;=36,(L142-33)*2.754,0))))),0)+IF(F142="PČ",IF(L142=1,449,IF(L142=2,314.6,IF(L142=3,238,IF(L142=4,172,IF(L142=5,159,IF(L142=6,145,IF(L142=7,132,IF(L142=8,119,0))))))))+IF(L142&lt;=8,0,IF(L142&lt;=16,88,IF(L142&lt;=24,55,IF(L142&lt;=32,22,0))))-IF(L142&lt;=8,0,IF(L142&lt;=16,(L142-9)*2.245,IF(L142&lt;=24,(L142-17)*2.245,IF(L142&lt;=32,(L142-25)*2.245,0)))),0)+IF(F142="PČneol",IF(L142=1,85,IF(L142=2,64.61,IF(L142=3,50.76,IF(L142=4,16.25,IF(L142=5,15,IF(L142=6,13.75,IF(L142=7,12.5,IF(L142=8,11.25,0))))))))+IF(L142&lt;=8,0,IF(L142&lt;=16,9,0))-IF(L142&lt;=8,0,IF(L142&lt;=16,(L142-9)*0.425,0)),0)+IF(F142="PŽ",IF(L142=1,85,IF(L142=2,59.5,IF(L142=3,45,IF(L142=4,32.5,IF(L142=5,30,IF(L142=6,27.5,IF(L142=7,25,IF(L142=8,22.5,0))))))))+IF(L142&lt;=8,0,IF(L142&lt;=16,19,IF(L142&lt;=24,13,IF(L142&lt;=32,8,0))))-IF(L142&lt;=8,0,IF(L142&lt;=16,(L142-9)*0.425,IF(L142&lt;=24,(L142-17)*0.425,IF(L142&lt;=32,(L142-25)*0.425,0)))),0)+IF(F142="EČ",IF(L142=1,204,IF(L142=2,156.24,IF(L142=3,123.84,IF(L142=4,72,IF(L142=5,66,IF(L142=6,60,IF(L142=7,54,IF(L142=8,48,0))))))))+IF(L142&lt;=8,0,IF(L142&lt;=16,40,IF(L142&lt;=24,25,0)))-IF(L142&lt;=8,0,IF(L142&lt;=16,(L142-9)*1.02,IF(L142&lt;=24,(L142-17)*1.02,0))),0)+IF(F142="EČneol",IF(L142=1,68,IF(L142=2,51.69,IF(L142=3,40.61,IF(L142=4,13,IF(L142=5,12,IF(L142=6,11,IF(L142=7,10,IF(L142=8,9,0)))))))))+IF(F142="EŽ",IF(L142=1,68,IF(L142=2,47.6,IF(L142=3,36,IF(L142=4,18,IF(L142=5,16.5,IF(L142=6,15,IF(L142=7,13.5,IF(L142=8,12,0))))))))+IF(L142&lt;=8,0,IF(L142&lt;=16,10,IF(L142&lt;=24,6,0)))-IF(L142&lt;=8,0,IF(L142&lt;=16,(L142-9)*0.34,IF(L142&lt;=24,(L142-17)*0.34,0))),0)+IF(F142="PT",IF(L142=1,68,IF(L142=2,52.08,IF(L142=3,41.28,IF(L142=4,24,IF(L142=5,22,IF(L142=6,20,IF(L142=7,18,IF(L142=8,16,0))))))))+IF(L142&lt;=8,0,IF(L142&lt;=16,13,IF(L142&lt;=24,9,IF(L142&lt;=32,4,0))))-IF(L142&lt;=8,0,IF(L142&lt;=16,(L142-9)*0.34,IF(L142&lt;=24,(L142-17)*0.34,IF(L142&lt;=32,(L142-25)*0.34,0)))),0)+IF(F142="JOŽ",IF(L142=1,85,IF(L142=2,59.5,IF(L142=3,45,IF(L142=4,32.5,IF(L142=5,30,IF(L142=6,27.5,IF(L142=7,25,IF(L142=8,22.5,0))))))))+IF(L142&lt;=8,0,IF(L142&lt;=16,19,IF(L142&lt;=24,13,0)))-IF(L142&lt;=8,0,IF(L142&lt;=16,(L142-9)*0.425,IF(L142&lt;=24,(L142-17)*0.425,0))),0)+IF(F142="JPČ",IF(L142=1,68,IF(L142=2,47.6,IF(L142=3,36,IF(L142=4,26,IF(L142=5,24,IF(L142=6,22,IF(L142=7,20,IF(L142=8,18,0))))))))+IF(L142&lt;=8,0,IF(L142&lt;=16,13,IF(L142&lt;=24,9,0)))-IF(L142&lt;=8,0,IF(L142&lt;=16,(L142-9)*0.34,IF(L142&lt;=24,(L142-17)*0.34,0))),0)+IF(F142="JEČ",IF(L142=1,34,IF(L142=2,26.04,IF(L142=3,20.6,IF(L142=4,12,IF(L142=5,11,IF(L142=6,10,IF(L142=7,9,IF(L142=8,8,0))))))))+IF(L142&lt;=8,0,IF(L142&lt;=16,6,0))-IF(L142&lt;=8,0,IF(L142&lt;=16,(L142-9)*0.17,0)),0)+IF(F142="JEOF",IF(L142=1,34,IF(L142=2,26.04,IF(L142=3,20.6,IF(L142=4,12,IF(L142=5,11,IF(L142=6,10,IF(L142=7,9,IF(L142=8,8,0))))))))+IF(L142&lt;=8,0,IF(L142&lt;=16,6,0))-IF(L142&lt;=8,0,IF(L142&lt;=16,(L142-9)*0.17,0)),0)+IF(F142="JnPČ",IF(L142=1,51,IF(L142=2,35.7,IF(L142=3,27,IF(L142=4,19.5,IF(L142=5,18,IF(L142=6,16.5,IF(L142=7,15,IF(L142=8,13.5,0))))))))+IF(L142&lt;=8,0,IF(L142&lt;=16,10,0))-IF(L142&lt;=8,0,IF(L142&lt;=16,(L142-9)*0.255,0)),0)+IF(F142="JnEČ",IF(L142=1,25.5,IF(L142=2,19.53,IF(L142=3,15.48,IF(L142=4,9,IF(L142=5,8.25,IF(L142=6,7.5,IF(L142=7,6.75,IF(L142=8,6,0))))))))+IF(L142&lt;=8,0,IF(L142&lt;=16,5,0))-IF(L142&lt;=8,0,IF(L142&lt;=16,(L142-9)*0.1275,0)),0)+IF(F142="JčPČ",IF(L142=1,21.25,IF(L142=2,14.5,IF(L142=3,11.5,IF(L142=4,7,IF(L142=5,6.5,IF(L142=6,6,IF(L142=7,5.5,IF(L142=8,5,0))))))))+IF(L142&lt;=8,0,IF(L142&lt;=16,4,0))-IF(L142&lt;=8,0,IF(L142&lt;=16,(L142-9)*0.10625,0)),0)+IF(F142="JčEČ",IF(L142=1,17,IF(L142=2,13.02,IF(L142=3,10.32,IF(L142=4,6,IF(L142=5,5.5,IF(L142=6,5,IF(L142=7,4.5,IF(L142=8,4,0))))))))+IF(L142&lt;=8,0,IF(L142&lt;=16,3,0))-IF(L142&lt;=8,0,IF(L142&lt;=16,(L142-9)*0.085,0)),0)+IF(F142="NEAK",IF(L142=1,11.48,IF(L142=2,8.79,IF(L142=3,6.97,IF(L142=4,4.05,IF(L142=5,3.71,IF(L142=6,3.38,IF(L142=7,3.04,IF(L142=8,2.7,0))))))))+IF(L142&lt;=8,0,IF(L142&lt;=16,2,IF(L142&lt;=24,1.3,0)))-IF(L142&lt;=8,0,IF(L142&lt;=16,(L142-9)*0.0574,IF(L142&lt;=24,(L142-17)*0.0574,0))),0))*IF(L142&lt;4,1,IF(OR(F142="PČ",F142="PŽ",F142="PT"),IF(J142&lt;32,J142/32,1),1))* IF(L142&lt;4,1,IF(OR(F142="EČ",F142="EŽ",F142="JOŽ",F142="JPČ",F142="NEAK"),IF(J142&lt;24,J142/24,1),1))*IF(L142&lt;4,1,IF(OR(F142="PČneol",F142="JEČ",F142="JEOF",F142="JnPČ",F142="JnEČ",F142="JčPČ",F142="JčEČ"),IF(J142&lt;16,J142/16,1),1))*IF(L142&lt;4,1,IF(F142="EČneol",IF(J142&lt;8,J142/8,1),1))</f>
        <v>8.32</v>
      </c>
      <c r="O142" s="9">
        <f t="shared" ref="O142" si="57">IF(F142="OŽ",N142,IF(H142="Ne",IF(J142*0.3&lt;=J142-L142,N142,0),IF(J142*0.1&lt;=J142-L142,N142,0)))</f>
        <v>8.32</v>
      </c>
      <c r="P142" s="4">
        <f t="shared" ref="P142:P151" si="58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1.02</v>
      </c>
      <c r="Q142" s="11">
        <f t="shared" ref="Q142:Q151" si="59">IF(ISERROR(P142*100/N142),0,(P142*100/N142))</f>
        <v>12.259615384615385</v>
      </c>
      <c r="R142" s="10">
        <f t="shared" ref="R142" si="60">IF(Q142&lt;=30,O142+P142,O142+O142*0.3)*IF(G142=1,0.4,IF(G142=2,0.75,IF(G142="1 (kas 4 m. 1 k. nerengiamos)",0.52,1)))*IF(D142="olimpinė",1,IF(M142="Ne",0.5,1))*IF(D142="olimpinė",1,IF(J142&lt;8,0,1))*E142*IF(D142="olimpinė",1,IF(K142&lt;16,0,1))*IF(I142&lt;=1,1,1/I142)*IF(OR(A$5="Lietuvos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3.9228000000000005</v>
      </c>
    </row>
    <row r="143" spans="1:18" s="8" customFormat="1">
      <c r="A143" s="73">
        <v>2</v>
      </c>
      <c r="B143" s="73"/>
      <c r="C143" s="12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3">
        <f t="shared" ref="N143:N151" si="61">(IF(F143="OŽ",IF(L143=1,550.8,IF(L143=2,426.38,IF(L143=3,342.14,IF(L143=4,181.44,IF(L143=5,168.48,IF(L143=6,155.52,IF(L143=7,148.5,IF(L143=8,144,0))))))))+IF(L143&lt;=8,0,IF(L143&lt;=16,137.7,IF(L143&lt;=24,108,IF(L143&lt;=32,80.1,IF(L143&lt;=36,52.2,0)))))-IF(L143&lt;=8,0,IF(L143&lt;=16,(L143-9)*2.754,IF(L143&lt;=24,(L143-17)* 2.754,IF(L143&lt;=32,(L143-25)* 2.754,IF(L143&lt;=36,(L143-33)*2.754,0))))),0)+IF(F143="PČ",IF(L143=1,449,IF(L143=2,314.6,IF(L143=3,238,IF(L143=4,172,IF(L143=5,159,IF(L143=6,145,IF(L143=7,132,IF(L143=8,119,0))))))))+IF(L143&lt;=8,0,IF(L143&lt;=16,88,IF(L143&lt;=24,55,IF(L143&lt;=32,22,0))))-IF(L143&lt;=8,0,IF(L143&lt;=16,(L143-9)*2.245,IF(L143&lt;=24,(L143-17)*2.245,IF(L143&lt;=32,(L143-25)*2.245,0)))),0)+IF(F143="PČneol",IF(L143=1,85,IF(L143=2,64.61,IF(L143=3,50.76,IF(L143=4,16.25,IF(L143=5,15,IF(L143=6,13.75,IF(L143=7,12.5,IF(L143=8,11.25,0))))))))+IF(L143&lt;=8,0,IF(L143&lt;=16,9,0))-IF(L143&lt;=8,0,IF(L143&lt;=16,(L143-9)*0.425,0)),0)+IF(F143="PŽ",IF(L143=1,85,IF(L143=2,59.5,IF(L143=3,45,IF(L143=4,32.5,IF(L143=5,30,IF(L143=6,27.5,IF(L143=7,25,IF(L143=8,22.5,0))))))))+IF(L143&lt;=8,0,IF(L143&lt;=16,19,IF(L143&lt;=24,13,IF(L143&lt;=32,8,0))))-IF(L143&lt;=8,0,IF(L143&lt;=16,(L143-9)*0.425,IF(L143&lt;=24,(L143-17)*0.425,IF(L143&lt;=32,(L143-25)*0.425,0)))),0)+IF(F143="EČ",IF(L143=1,204,IF(L143=2,156.24,IF(L143=3,123.84,IF(L143=4,72,IF(L143=5,66,IF(L143=6,60,IF(L143=7,54,IF(L143=8,48,0))))))))+IF(L143&lt;=8,0,IF(L143&lt;=16,40,IF(L143&lt;=24,25,0)))-IF(L143&lt;=8,0,IF(L143&lt;=16,(L143-9)*1.02,IF(L143&lt;=24,(L143-17)*1.02,0))),0)+IF(F143="EČneol",IF(L143=1,68,IF(L143=2,51.69,IF(L143=3,40.61,IF(L143=4,13,IF(L143=5,12,IF(L143=6,11,IF(L143=7,10,IF(L143=8,9,0)))))))))+IF(F143="EŽ",IF(L143=1,68,IF(L143=2,47.6,IF(L143=3,36,IF(L143=4,18,IF(L143=5,16.5,IF(L143=6,15,IF(L143=7,13.5,IF(L143=8,12,0))))))))+IF(L143&lt;=8,0,IF(L143&lt;=16,10,IF(L143&lt;=24,6,0)))-IF(L143&lt;=8,0,IF(L143&lt;=16,(L143-9)*0.34,IF(L143&lt;=24,(L143-17)*0.34,0))),0)+IF(F143="PT",IF(L143=1,68,IF(L143=2,52.08,IF(L143=3,41.28,IF(L143=4,24,IF(L143=5,22,IF(L143=6,20,IF(L143=7,18,IF(L143=8,16,0))))))))+IF(L143&lt;=8,0,IF(L143&lt;=16,13,IF(L143&lt;=24,9,IF(L143&lt;=32,4,0))))-IF(L143&lt;=8,0,IF(L143&lt;=16,(L143-9)*0.34,IF(L143&lt;=24,(L143-17)*0.34,IF(L143&lt;=32,(L143-25)*0.34,0)))),0)+IF(F143="JOŽ",IF(L143=1,85,IF(L143=2,59.5,IF(L143=3,45,IF(L143=4,32.5,IF(L143=5,30,IF(L143=6,27.5,IF(L143=7,25,IF(L143=8,22.5,0))))))))+IF(L143&lt;=8,0,IF(L143&lt;=16,19,IF(L143&lt;=24,13,0)))-IF(L143&lt;=8,0,IF(L143&lt;=16,(L143-9)*0.425,IF(L143&lt;=24,(L143-17)*0.425,0))),0)+IF(F143="JPČ",IF(L143=1,68,IF(L143=2,47.6,IF(L143=3,36,IF(L143=4,26,IF(L143=5,24,IF(L143=6,22,IF(L143=7,20,IF(L143=8,18,0))))))))+IF(L143&lt;=8,0,IF(L143&lt;=16,13,IF(L143&lt;=24,9,0)))-IF(L143&lt;=8,0,IF(L143&lt;=16,(L143-9)*0.34,IF(L143&lt;=24,(L143-17)*0.34,0))),0)+IF(F143="JEČ",IF(L143=1,34,IF(L143=2,26.04,IF(L143=3,20.6,IF(L143=4,12,IF(L143=5,11,IF(L143=6,10,IF(L143=7,9,IF(L143=8,8,0))))))))+IF(L143&lt;=8,0,IF(L143&lt;=16,6,0))-IF(L143&lt;=8,0,IF(L143&lt;=16,(L143-9)*0.17,0)),0)+IF(F143="JEOF",IF(L143=1,34,IF(L143=2,26.04,IF(L143=3,20.6,IF(L143=4,12,IF(L143=5,11,IF(L143=6,10,IF(L143=7,9,IF(L143=8,8,0))))))))+IF(L143&lt;=8,0,IF(L143&lt;=16,6,0))-IF(L143&lt;=8,0,IF(L143&lt;=16,(L143-9)*0.17,0)),0)+IF(F143="JnPČ",IF(L143=1,51,IF(L143=2,35.7,IF(L143=3,27,IF(L143=4,19.5,IF(L143=5,18,IF(L143=6,16.5,IF(L143=7,15,IF(L143=8,13.5,0))))))))+IF(L143&lt;=8,0,IF(L143&lt;=16,10,0))-IF(L143&lt;=8,0,IF(L143&lt;=16,(L143-9)*0.255,0)),0)+IF(F143="JnEČ",IF(L143=1,25.5,IF(L143=2,19.53,IF(L143=3,15.48,IF(L143=4,9,IF(L143=5,8.25,IF(L143=6,7.5,IF(L143=7,6.75,IF(L143=8,6,0))))))))+IF(L143&lt;=8,0,IF(L143&lt;=16,5,0))-IF(L143&lt;=8,0,IF(L143&lt;=16,(L143-9)*0.1275,0)),0)+IF(F143="JčPČ",IF(L143=1,21.25,IF(L143=2,14.5,IF(L143=3,11.5,IF(L143=4,7,IF(L143=5,6.5,IF(L143=6,6,IF(L143=7,5.5,IF(L143=8,5,0))))))))+IF(L143&lt;=8,0,IF(L143&lt;=16,4,0))-IF(L143&lt;=8,0,IF(L143&lt;=16,(L143-9)*0.10625,0)),0)+IF(F143="JčEČ",IF(L143=1,17,IF(L143=2,13.02,IF(L143=3,10.32,IF(L143=4,6,IF(L143=5,5.5,IF(L143=6,5,IF(L143=7,4.5,IF(L143=8,4,0))))))))+IF(L143&lt;=8,0,IF(L143&lt;=16,3,0))-IF(L143&lt;=8,0,IF(L143&lt;=16,(L143-9)*0.085,0)),0)+IF(F143="NEAK",IF(L143=1,11.48,IF(L143=2,8.79,IF(L143=3,6.97,IF(L143=4,4.05,IF(L143=5,3.71,IF(L143=6,3.38,IF(L143=7,3.04,IF(L143=8,2.7,0))))))))+IF(L143&lt;=8,0,IF(L143&lt;=16,2,IF(L143&lt;=24,1.3,0)))-IF(L143&lt;=8,0,IF(L143&lt;=16,(L143-9)*0.0574,IF(L143&lt;=24,(L143-17)*0.0574,0))),0))*IF(L143&lt;0,1,IF(OR(F143="PČ",F143="PŽ",F143="PT"),IF(J143&lt;32,J143/32,1),1))* IF(L143&lt;0,1,IF(OR(F143="EČ",F143="EŽ",F143="JOŽ",F143="JPČ",F143="NEAK"),IF(J143&lt;24,J143/24,1),1))*IF(L143&lt;0,1,IF(OR(F143="PČneol",F143="JEČ",F143="JEOF",F143="JnPČ",F143="JnEČ",F143="JčPČ",F143="JčEČ"),IF(J143&lt;16,J143/16,1),1))*IF(L143&lt;0,1,IF(F143="EČneol",IF(J143&lt;8,J143/8,1),1))</f>
        <v>0</v>
      </c>
      <c r="O143" s="9">
        <f t="shared" ref="O143:O151" si="62">IF(F143="OŽ",N143,IF(H143="Ne",IF(J143*0.3&lt;J143-L143,N143,0),IF(J143*0.1&lt;J143-L143,N143,0)))</f>
        <v>0</v>
      </c>
      <c r="P143" s="4">
        <f t="shared" si="58"/>
        <v>0</v>
      </c>
      <c r="Q143" s="11">
        <f t="shared" si="59"/>
        <v>0</v>
      </c>
      <c r="R143" s="10">
        <f t="shared" ref="R143:R151" si="63">IF(Q143&lt;=30,O143+P143,O143+O143*0.3)*IF(G143=1,0.4,IF(G143=2,0.75,IF(G143="1 (kas 4 m. 1 k. nerengiamos)",0.52,1)))*IF(D143="olimpinė",1,IF(M143="Ne",0.5,1))*IF(OR(A$5="Lietuvos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federacija"),IF(OR(J143&lt;8,K143&lt;16),0,1),1)*E143*IF(I143&lt;=1,1,1/I143)*IF(OR(A$5="Lietuvos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4" spans="1:18" s="8" customFormat="1">
      <c r="A144" s="73">
        <v>3</v>
      </c>
      <c r="B144" s="73"/>
      <c r="C144" s="12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3">
        <f t="shared" si="61"/>
        <v>0</v>
      </c>
      <c r="O144" s="9">
        <f t="shared" si="62"/>
        <v>0</v>
      </c>
      <c r="P144" s="4">
        <f t="shared" si="58"/>
        <v>0</v>
      </c>
      <c r="Q144" s="11">
        <f t="shared" si="59"/>
        <v>0</v>
      </c>
      <c r="R144" s="10">
        <f t="shared" si="63"/>
        <v>0</v>
      </c>
    </row>
    <row r="145" spans="1:18" s="8" customFormat="1">
      <c r="A145" s="73">
        <v>4</v>
      </c>
      <c r="B145" s="73"/>
      <c r="C145" s="12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3">
        <f t="shared" si="61"/>
        <v>0</v>
      </c>
      <c r="O145" s="9">
        <f t="shared" si="62"/>
        <v>0</v>
      </c>
      <c r="P145" s="4">
        <f t="shared" si="58"/>
        <v>0</v>
      </c>
      <c r="Q145" s="11">
        <f t="shared" si="59"/>
        <v>0</v>
      </c>
      <c r="R145" s="10">
        <f t="shared" si="63"/>
        <v>0</v>
      </c>
    </row>
    <row r="146" spans="1:18" s="8" customFormat="1">
      <c r="A146" s="73">
        <v>5</v>
      </c>
      <c r="B146" s="73"/>
      <c r="C146" s="12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3">
        <f t="shared" si="61"/>
        <v>0</v>
      </c>
      <c r="O146" s="9">
        <f t="shared" si="62"/>
        <v>0</v>
      </c>
      <c r="P146" s="4">
        <f t="shared" si="58"/>
        <v>0</v>
      </c>
      <c r="Q146" s="11">
        <f t="shared" si="59"/>
        <v>0</v>
      </c>
      <c r="R146" s="10">
        <f t="shared" si="63"/>
        <v>0</v>
      </c>
    </row>
    <row r="147" spans="1:18" s="8" customFormat="1">
      <c r="A147" s="73">
        <v>6</v>
      </c>
      <c r="B147" s="73"/>
      <c r="C147" s="12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3">
        <f t="shared" si="61"/>
        <v>0</v>
      </c>
      <c r="O147" s="9">
        <f t="shared" si="62"/>
        <v>0</v>
      </c>
      <c r="P147" s="4">
        <f t="shared" si="58"/>
        <v>0</v>
      </c>
      <c r="Q147" s="11">
        <f t="shared" si="59"/>
        <v>0</v>
      </c>
      <c r="R147" s="10">
        <f t="shared" si="63"/>
        <v>0</v>
      </c>
    </row>
    <row r="148" spans="1:18" s="8" customFormat="1">
      <c r="A148" s="73">
        <v>7</v>
      </c>
      <c r="B148" s="73"/>
      <c r="C148" s="12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3">
        <f t="shared" si="61"/>
        <v>0</v>
      </c>
      <c r="O148" s="9">
        <f t="shared" si="62"/>
        <v>0</v>
      </c>
      <c r="P148" s="4">
        <f t="shared" si="58"/>
        <v>0</v>
      </c>
      <c r="Q148" s="11">
        <f t="shared" si="59"/>
        <v>0</v>
      </c>
      <c r="R148" s="10">
        <f t="shared" si="63"/>
        <v>0</v>
      </c>
    </row>
    <row r="149" spans="1:18" s="8" customFormat="1">
      <c r="A149" s="73">
        <v>8</v>
      </c>
      <c r="B149" s="73"/>
      <c r="C149" s="12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3">
        <f t="shared" si="61"/>
        <v>0</v>
      </c>
      <c r="O149" s="9">
        <f t="shared" si="62"/>
        <v>0</v>
      </c>
      <c r="P149" s="4">
        <f t="shared" si="58"/>
        <v>0</v>
      </c>
      <c r="Q149" s="11">
        <f t="shared" si="59"/>
        <v>0</v>
      </c>
      <c r="R149" s="10">
        <f t="shared" si="63"/>
        <v>0</v>
      </c>
    </row>
    <row r="150" spans="1:18" s="8" customFormat="1">
      <c r="A150" s="73">
        <v>9</v>
      </c>
      <c r="B150" s="73"/>
      <c r="C150" s="12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3">
        <f t="shared" si="61"/>
        <v>0</v>
      </c>
      <c r="O150" s="9">
        <f t="shared" si="62"/>
        <v>0</v>
      </c>
      <c r="P150" s="4">
        <f t="shared" si="58"/>
        <v>0</v>
      </c>
      <c r="Q150" s="11">
        <f t="shared" si="59"/>
        <v>0</v>
      </c>
      <c r="R150" s="10">
        <f t="shared" si="63"/>
        <v>0</v>
      </c>
    </row>
    <row r="151" spans="1:18" s="8" customFormat="1">
      <c r="A151" s="73">
        <v>10</v>
      </c>
      <c r="B151" s="73"/>
      <c r="C151" s="12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3">
        <f t="shared" si="61"/>
        <v>0</v>
      </c>
      <c r="O151" s="9">
        <f t="shared" si="62"/>
        <v>0</v>
      </c>
      <c r="P151" s="4">
        <f t="shared" si="58"/>
        <v>0</v>
      </c>
      <c r="Q151" s="11">
        <f t="shared" si="59"/>
        <v>0</v>
      </c>
      <c r="R151" s="10">
        <f t="shared" si="63"/>
        <v>0</v>
      </c>
    </row>
    <row r="152" spans="1:18" s="8" customFormat="1">
      <c r="A152" s="82" t="s">
        <v>36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4"/>
      <c r="R152" s="10">
        <f>SUM(R142:R151)</f>
        <v>3.9228000000000005</v>
      </c>
    </row>
    <row r="153" spans="1:18" s="8" customFormat="1" ht="15.75">
      <c r="A153" s="24" t="s">
        <v>37</v>
      </c>
      <c r="B153" s="24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7"/>
    </row>
    <row r="154" spans="1:18" s="8" customFormat="1">
      <c r="A154" s="49" t="s">
        <v>49</v>
      </c>
      <c r="B154" s="49"/>
      <c r="C154" s="49"/>
      <c r="D154" s="49"/>
      <c r="E154" s="49"/>
      <c r="F154" s="49"/>
      <c r="G154" s="49"/>
      <c r="H154" s="49"/>
      <c r="I154" s="49"/>
      <c r="J154" s="56"/>
      <c r="K154" s="56"/>
      <c r="L154" s="56"/>
      <c r="M154" s="56"/>
      <c r="N154" s="56"/>
      <c r="O154" s="56"/>
      <c r="P154" s="56"/>
      <c r="Q154" s="56"/>
      <c r="R154" s="57"/>
    </row>
    <row r="155" spans="1:18" s="8" customFormat="1">
      <c r="A155" s="49"/>
      <c r="B155" s="49"/>
      <c r="C155" s="49"/>
      <c r="D155" s="49"/>
      <c r="E155" s="49"/>
      <c r="F155" s="49"/>
      <c r="G155" s="49"/>
      <c r="H155" s="49"/>
      <c r="I155" s="49"/>
      <c r="J155" s="56"/>
      <c r="K155" s="56"/>
      <c r="L155" s="56"/>
      <c r="M155" s="56"/>
      <c r="N155" s="56"/>
      <c r="O155" s="56"/>
      <c r="P155" s="56"/>
      <c r="Q155" s="56"/>
      <c r="R155" s="57"/>
    </row>
    <row r="156" spans="1:18" s="8" customFormat="1">
      <c r="A156" s="76" t="s">
        <v>75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68"/>
    </row>
    <row r="157" spans="1:18" s="8" customFormat="1" ht="18">
      <c r="A157" s="78" t="s">
        <v>27</v>
      </c>
      <c r="B157" s="79"/>
      <c r="C157" s="79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68"/>
    </row>
    <row r="158" spans="1:18" s="8" customFormat="1">
      <c r="A158" s="80" t="s">
        <v>76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68"/>
    </row>
    <row r="159" spans="1:18" s="8" customFormat="1">
      <c r="A159" s="73">
        <v>1</v>
      </c>
      <c r="B159" s="73" t="s">
        <v>34</v>
      </c>
      <c r="C159" s="12" t="s">
        <v>35</v>
      </c>
      <c r="D159" s="73" t="s">
        <v>31</v>
      </c>
      <c r="E159" s="73">
        <v>1</v>
      </c>
      <c r="F159" s="73" t="s">
        <v>54</v>
      </c>
      <c r="G159" s="73">
        <v>1</v>
      </c>
      <c r="H159" s="73" t="s">
        <v>59</v>
      </c>
      <c r="I159" s="73"/>
      <c r="J159" s="73">
        <v>82</v>
      </c>
      <c r="K159" s="73">
        <v>24</v>
      </c>
      <c r="L159" s="73">
        <v>48</v>
      </c>
      <c r="M159" s="73"/>
      <c r="N159" s="3">
        <f t="shared" ref="N159" si="64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4,1,IF(OR(F159="PČ",F159="PŽ",F159="PT"),IF(J159&lt;32,J159/32,1),1))* IF(L159&lt;4,1,IF(OR(F159="EČ",F159="EŽ",F159="JOŽ",F159="JPČ",F159="NEAK"),IF(J159&lt;24,J159/24,1),1))*IF(L159&lt;4,1,IF(OR(F159="PČneol",F159="JEČ",F159="JEOF",F159="JnPČ",F159="JnEČ",F159="JčPČ",F159="JčEČ"),IF(J159&lt;16,J159/16,1),1))*IF(L159&lt;4,1,IF(F159="EČneol",IF(J159&lt;8,J159/8,1),1))</f>
        <v>0</v>
      </c>
      <c r="O159" s="9">
        <f t="shared" ref="O159" si="65">IF(F159="OŽ",N159,IF(H159="Ne",IF(J159*0.3&lt;=J159-L159,N159,0),IF(J159*0.1&lt;=J159-L159,N159,0)))</f>
        <v>0</v>
      </c>
      <c r="P159" s="4">
        <f t="shared" ref="P159:P168" si="66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8" si="67">IF(ISERROR(P159*100/N159),0,(P159*100/N159))</f>
        <v>0</v>
      </c>
      <c r="R159" s="10">
        <f t="shared" ref="R159" si="68">IF(Q159&lt;=30,O159+P159,O159+O159*0.3)*IF(G159=1,0.4,IF(G159=2,0.75,IF(G159="1 (kas 4 m. 1 k. nerengiamos)",0.52,1)))*IF(D159="olimpinė",1,IF(M159="Ne",0.5,1))*IF(D159="olimpinė",1,IF(J159&lt;8,0,1))*E159*IF(D159="olimpinė",1,IF(K159&lt;16,0,1))*IF(I159&lt;=1,1,1/I159)*IF(OR(A$5="Lietuvos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60" spans="1:18" s="8" customFormat="1">
      <c r="A160" s="73">
        <v>2</v>
      </c>
      <c r="B160" s="73"/>
      <c r="C160" s="12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3">
        <f t="shared" ref="N160:N168" si="69">(IF(F160="OŽ",IF(L160=1,550.8,IF(L160=2,426.38,IF(L160=3,342.14,IF(L160=4,181.44,IF(L160=5,168.48,IF(L160=6,155.52,IF(L160=7,148.5,IF(L160=8,144,0))))))))+IF(L160&lt;=8,0,IF(L160&lt;=16,137.7,IF(L160&lt;=24,108,IF(L160&lt;=32,80.1,IF(L160&lt;=36,52.2,0)))))-IF(L160&lt;=8,0,IF(L160&lt;=16,(L160-9)*2.754,IF(L160&lt;=24,(L160-17)* 2.754,IF(L160&lt;=32,(L160-25)* 2.754,IF(L160&lt;=36,(L160-33)*2.754,0))))),0)+IF(F160="PČ",IF(L160=1,449,IF(L160=2,314.6,IF(L160=3,238,IF(L160=4,172,IF(L160=5,159,IF(L160=6,145,IF(L160=7,132,IF(L160=8,119,0))))))))+IF(L160&lt;=8,0,IF(L160&lt;=16,88,IF(L160&lt;=24,55,IF(L160&lt;=32,22,0))))-IF(L160&lt;=8,0,IF(L160&lt;=16,(L160-9)*2.245,IF(L160&lt;=24,(L160-17)*2.245,IF(L160&lt;=32,(L160-25)*2.245,0)))),0)+IF(F160="PČneol",IF(L160=1,85,IF(L160=2,64.61,IF(L160=3,50.76,IF(L160=4,16.25,IF(L160=5,15,IF(L160=6,13.75,IF(L160=7,12.5,IF(L160=8,11.25,0))))))))+IF(L160&lt;=8,0,IF(L160&lt;=16,9,0))-IF(L160&lt;=8,0,IF(L160&lt;=16,(L160-9)*0.425,0)),0)+IF(F160="PŽ",IF(L160=1,85,IF(L160=2,59.5,IF(L160=3,45,IF(L160=4,32.5,IF(L160=5,30,IF(L160=6,27.5,IF(L160=7,25,IF(L160=8,22.5,0))))))))+IF(L160&lt;=8,0,IF(L160&lt;=16,19,IF(L160&lt;=24,13,IF(L160&lt;=32,8,0))))-IF(L160&lt;=8,0,IF(L160&lt;=16,(L160-9)*0.425,IF(L160&lt;=24,(L160-17)*0.425,IF(L160&lt;=32,(L160-25)*0.425,0)))),0)+IF(F160="EČ",IF(L160=1,204,IF(L160=2,156.24,IF(L160=3,123.84,IF(L160=4,72,IF(L160=5,66,IF(L160=6,60,IF(L160=7,54,IF(L160=8,48,0))))))))+IF(L160&lt;=8,0,IF(L160&lt;=16,40,IF(L160&lt;=24,25,0)))-IF(L160&lt;=8,0,IF(L160&lt;=16,(L160-9)*1.02,IF(L160&lt;=24,(L160-17)*1.02,0))),0)+IF(F160="EČneol",IF(L160=1,68,IF(L160=2,51.69,IF(L160=3,40.61,IF(L160=4,13,IF(L160=5,12,IF(L160=6,11,IF(L160=7,10,IF(L160=8,9,0)))))))))+IF(F160="EŽ",IF(L160=1,68,IF(L160=2,47.6,IF(L160=3,36,IF(L160=4,18,IF(L160=5,16.5,IF(L160=6,15,IF(L160=7,13.5,IF(L160=8,12,0))))))))+IF(L160&lt;=8,0,IF(L160&lt;=16,10,IF(L160&lt;=24,6,0)))-IF(L160&lt;=8,0,IF(L160&lt;=16,(L160-9)*0.34,IF(L160&lt;=24,(L160-17)*0.34,0))),0)+IF(F160="PT",IF(L160=1,68,IF(L160=2,52.08,IF(L160=3,41.28,IF(L160=4,24,IF(L160=5,22,IF(L160=6,20,IF(L160=7,18,IF(L160=8,16,0))))))))+IF(L160&lt;=8,0,IF(L160&lt;=16,13,IF(L160&lt;=24,9,IF(L160&lt;=32,4,0))))-IF(L160&lt;=8,0,IF(L160&lt;=16,(L160-9)*0.34,IF(L160&lt;=24,(L160-17)*0.34,IF(L160&lt;=32,(L160-25)*0.34,0)))),0)+IF(F160="JOŽ",IF(L160=1,85,IF(L160=2,59.5,IF(L160=3,45,IF(L160=4,32.5,IF(L160=5,30,IF(L160=6,27.5,IF(L160=7,25,IF(L160=8,22.5,0))))))))+IF(L160&lt;=8,0,IF(L160&lt;=16,19,IF(L160&lt;=24,13,0)))-IF(L160&lt;=8,0,IF(L160&lt;=16,(L160-9)*0.425,IF(L160&lt;=24,(L160-17)*0.425,0))),0)+IF(F160="JPČ",IF(L160=1,68,IF(L160=2,47.6,IF(L160=3,36,IF(L160=4,26,IF(L160=5,24,IF(L160=6,22,IF(L160=7,20,IF(L160=8,18,0))))))))+IF(L160&lt;=8,0,IF(L160&lt;=16,13,IF(L160&lt;=24,9,0)))-IF(L160&lt;=8,0,IF(L160&lt;=16,(L160-9)*0.34,IF(L160&lt;=24,(L160-17)*0.34,0))),0)+IF(F160="JEČ",IF(L160=1,34,IF(L160=2,26.04,IF(L160=3,20.6,IF(L160=4,12,IF(L160=5,11,IF(L160=6,10,IF(L160=7,9,IF(L160=8,8,0))))))))+IF(L160&lt;=8,0,IF(L160&lt;=16,6,0))-IF(L160&lt;=8,0,IF(L160&lt;=16,(L160-9)*0.17,0)),0)+IF(F160="JEOF",IF(L160=1,34,IF(L160=2,26.04,IF(L160=3,20.6,IF(L160=4,12,IF(L160=5,11,IF(L160=6,10,IF(L160=7,9,IF(L160=8,8,0))))))))+IF(L160&lt;=8,0,IF(L160&lt;=16,6,0))-IF(L160&lt;=8,0,IF(L160&lt;=16,(L160-9)*0.17,0)),0)+IF(F160="JnPČ",IF(L160=1,51,IF(L160=2,35.7,IF(L160=3,27,IF(L160=4,19.5,IF(L160=5,18,IF(L160=6,16.5,IF(L160=7,15,IF(L160=8,13.5,0))))))))+IF(L160&lt;=8,0,IF(L160&lt;=16,10,0))-IF(L160&lt;=8,0,IF(L160&lt;=16,(L160-9)*0.255,0)),0)+IF(F160="JnEČ",IF(L160=1,25.5,IF(L160=2,19.53,IF(L160=3,15.48,IF(L160=4,9,IF(L160=5,8.25,IF(L160=6,7.5,IF(L160=7,6.75,IF(L160=8,6,0))))))))+IF(L160&lt;=8,0,IF(L160&lt;=16,5,0))-IF(L160&lt;=8,0,IF(L160&lt;=16,(L160-9)*0.1275,0)),0)+IF(F160="JčPČ",IF(L160=1,21.25,IF(L160=2,14.5,IF(L160=3,11.5,IF(L160=4,7,IF(L160=5,6.5,IF(L160=6,6,IF(L160=7,5.5,IF(L160=8,5,0))))))))+IF(L160&lt;=8,0,IF(L160&lt;=16,4,0))-IF(L160&lt;=8,0,IF(L160&lt;=16,(L160-9)*0.10625,0)),0)+IF(F160="JčEČ",IF(L160=1,17,IF(L160=2,13.02,IF(L160=3,10.32,IF(L160=4,6,IF(L160=5,5.5,IF(L160=6,5,IF(L160=7,4.5,IF(L160=8,4,0))))))))+IF(L160&lt;=8,0,IF(L160&lt;=16,3,0))-IF(L160&lt;=8,0,IF(L160&lt;=16,(L160-9)*0.085,0)),0)+IF(F160="NEAK",IF(L160=1,11.48,IF(L160=2,8.79,IF(L160=3,6.97,IF(L160=4,4.05,IF(L160=5,3.71,IF(L160=6,3.38,IF(L160=7,3.04,IF(L160=8,2.7,0))))))))+IF(L160&lt;=8,0,IF(L160&lt;=16,2,IF(L160&lt;=24,1.3,0)))-IF(L160&lt;=8,0,IF(L160&lt;=16,(L160-9)*0.0574,IF(L160&lt;=24,(L160-17)*0.0574,0))),0))*IF(L160&lt;0,1,IF(OR(F160="PČ",F160="PŽ",F160="PT"),IF(J160&lt;32,J160/32,1),1))* IF(L160&lt;0,1,IF(OR(F160="EČ",F160="EŽ",F160="JOŽ",F160="JPČ",F160="NEAK"),IF(J160&lt;24,J160/24,1),1))*IF(L160&lt;0,1,IF(OR(F160="PČneol",F160="JEČ",F160="JEOF",F160="JnPČ",F160="JnEČ",F160="JčPČ",F160="JčEČ"),IF(J160&lt;16,J160/16,1),1))*IF(L160&lt;0,1,IF(F160="EČneol",IF(J160&lt;8,J160/8,1),1))</f>
        <v>0</v>
      </c>
      <c r="O160" s="9">
        <f t="shared" ref="O160:O168" si="70">IF(F160="OŽ",N160,IF(H160="Ne",IF(J160*0.3&lt;J160-L160,N160,0),IF(J160*0.1&lt;J160-L160,N160,0)))</f>
        <v>0</v>
      </c>
      <c r="P160" s="4">
        <f t="shared" si="66"/>
        <v>0</v>
      </c>
      <c r="Q160" s="11">
        <f t="shared" si="67"/>
        <v>0</v>
      </c>
      <c r="R160" s="10">
        <f t="shared" ref="R160:R168" si="71">IF(Q160&lt;=30,O160+P160,O160+O160*0.3)*IF(G160=1,0.4,IF(G160=2,0.75,IF(G160="1 (kas 4 m. 1 k. nerengiamos)",0.52,1)))*IF(D160="olimpinė",1,IF(M160="Ne",0.5,1))*IF(OR(A$5="Lietuvos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federacija"),IF(OR(J160&lt;8,K160&lt;16),0,1),1)*E160*IF(I160&lt;=1,1,1/I160)*IF(OR(A$5="Lietuvos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61" spans="1:18" s="8" customFormat="1">
      <c r="A161" s="73">
        <v>3</v>
      </c>
      <c r="B161" s="73"/>
      <c r="C161" s="12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3">
        <f t="shared" si="69"/>
        <v>0</v>
      </c>
      <c r="O161" s="9">
        <f t="shared" si="70"/>
        <v>0</v>
      </c>
      <c r="P161" s="4">
        <f t="shared" si="66"/>
        <v>0</v>
      </c>
      <c r="Q161" s="11">
        <f t="shared" si="67"/>
        <v>0</v>
      </c>
      <c r="R161" s="10">
        <f t="shared" si="71"/>
        <v>0</v>
      </c>
    </row>
    <row r="162" spans="1:18" s="8" customFormat="1">
      <c r="A162" s="73">
        <v>4</v>
      </c>
      <c r="B162" s="73"/>
      <c r="C162" s="12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3">
        <f t="shared" si="69"/>
        <v>0</v>
      </c>
      <c r="O162" s="9">
        <f t="shared" si="70"/>
        <v>0</v>
      </c>
      <c r="P162" s="4">
        <f t="shared" si="66"/>
        <v>0</v>
      </c>
      <c r="Q162" s="11">
        <f t="shared" si="67"/>
        <v>0</v>
      </c>
      <c r="R162" s="10">
        <f t="shared" si="71"/>
        <v>0</v>
      </c>
    </row>
    <row r="163" spans="1:18" s="8" customFormat="1">
      <c r="A163" s="73">
        <v>5</v>
      </c>
      <c r="B163" s="73"/>
      <c r="C163" s="12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3">
        <f t="shared" si="69"/>
        <v>0</v>
      </c>
      <c r="O163" s="9">
        <f t="shared" si="70"/>
        <v>0</v>
      </c>
      <c r="P163" s="4">
        <f t="shared" si="66"/>
        <v>0</v>
      </c>
      <c r="Q163" s="11">
        <f t="shared" si="67"/>
        <v>0</v>
      </c>
      <c r="R163" s="10">
        <f t="shared" si="71"/>
        <v>0</v>
      </c>
    </row>
    <row r="164" spans="1:18" s="8" customFormat="1">
      <c r="A164" s="73">
        <v>6</v>
      </c>
      <c r="B164" s="73"/>
      <c r="C164" s="12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3">
        <f t="shared" si="69"/>
        <v>0</v>
      </c>
      <c r="O164" s="9">
        <f t="shared" si="70"/>
        <v>0</v>
      </c>
      <c r="P164" s="4">
        <f t="shared" si="66"/>
        <v>0</v>
      </c>
      <c r="Q164" s="11">
        <f t="shared" si="67"/>
        <v>0</v>
      </c>
      <c r="R164" s="10">
        <f t="shared" si="71"/>
        <v>0</v>
      </c>
    </row>
    <row r="165" spans="1:18" s="8" customFormat="1">
      <c r="A165" s="73">
        <v>7</v>
      </c>
      <c r="B165" s="73"/>
      <c r="C165" s="12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3">
        <f t="shared" si="69"/>
        <v>0</v>
      </c>
      <c r="O165" s="9">
        <f t="shared" si="70"/>
        <v>0</v>
      </c>
      <c r="P165" s="4">
        <f t="shared" si="66"/>
        <v>0</v>
      </c>
      <c r="Q165" s="11">
        <f t="shared" si="67"/>
        <v>0</v>
      </c>
      <c r="R165" s="10">
        <f t="shared" si="71"/>
        <v>0</v>
      </c>
    </row>
    <row r="166" spans="1:18" s="8" customFormat="1">
      <c r="A166" s="73">
        <v>8</v>
      </c>
      <c r="B166" s="73"/>
      <c r="C166" s="12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3">
        <f t="shared" si="69"/>
        <v>0</v>
      </c>
      <c r="O166" s="9">
        <f t="shared" si="70"/>
        <v>0</v>
      </c>
      <c r="P166" s="4">
        <f t="shared" si="66"/>
        <v>0</v>
      </c>
      <c r="Q166" s="11">
        <f t="shared" si="67"/>
        <v>0</v>
      </c>
      <c r="R166" s="10">
        <f t="shared" si="71"/>
        <v>0</v>
      </c>
    </row>
    <row r="167" spans="1:18" s="8" customFormat="1">
      <c r="A167" s="73">
        <v>9</v>
      </c>
      <c r="B167" s="73"/>
      <c r="C167" s="12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3">
        <f t="shared" si="69"/>
        <v>0</v>
      </c>
      <c r="O167" s="9">
        <f t="shared" si="70"/>
        <v>0</v>
      </c>
      <c r="P167" s="4">
        <f t="shared" si="66"/>
        <v>0</v>
      </c>
      <c r="Q167" s="11">
        <f t="shared" si="67"/>
        <v>0</v>
      </c>
      <c r="R167" s="10">
        <f t="shared" si="71"/>
        <v>0</v>
      </c>
    </row>
    <row r="168" spans="1:18" s="8" customFormat="1">
      <c r="A168" s="73">
        <v>10</v>
      </c>
      <c r="B168" s="73"/>
      <c r="C168" s="12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3">
        <f t="shared" si="69"/>
        <v>0</v>
      </c>
      <c r="O168" s="9">
        <f t="shared" si="70"/>
        <v>0</v>
      </c>
      <c r="P168" s="4">
        <f t="shared" si="66"/>
        <v>0</v>
      </c>
      <c r="Q168" s="11">
        <f t="shared" si="67"/>
        <v>0</v>
      </c>
      <c r="R168" s="10">
        <f t="shared" si="71"/>
        <v>0</v>
      </c>
    </row>
    <row r="169" spans="1:18" s="8" customFormat="1">
      <c r="A169" s="82" t="s">
        <v>36</v>
      </c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4"/>
      <c r="R169" s="10">
        <f>SUM(R159:R168)</f>
        <v>0</v>
      </c>
    </row>
    <row r="170" spans="1:18" s="8" customFormat="1" ht="15.75">
      <c r="A170" s="24" t="s">
        <v>37</v>
      </c>
      <c r="B170" s="24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7"/>
    </row>
    <row r="171" spans="1:18" s="8" customFormat="1">
      <c r="A171" s="49" t="s">
        <v>49</v>
      </c>
      <c r="B171" s="49"/>
      <c r="C171" s="49"/>
      <c r="D171" s="49"/>
      <c r="E171" s="49"/>
      <c r="F171" s="49"/>
      <c r="G171" s="49"/>
      <c r="H171" s="49"/>
      <c r="I171" s="49"/>
      <c r="J171" s="56"/>
      <c r="K171" s="56"/>
      <c r="L171" s="56"/>
      <c r="M171" s="56"/>
      <c r="N171" s="56"/>
      <c r="O171" s="56"/>
      <c r="P171" s="56"/>
      <c r="Q171" s="56"/>
      <c r="R171" s="57"/>
    </row>
    <row r="172" spans="1:18" s="8" customFormat="1">
      <c r="A172" s="49"/>
      <c r="B172" s="49"/>
      <c r="C172" s="49"/>
      <c r="D172" s="49"/>
      <c r="E172" s="49"/>
      <c r="F172" s="49"/>
      <c r="G172" s="49"/>
      <c r="H172" s="49"/>
      <c r="I172" s="49"/>
      <c r="J172" s="56"/>
      <c r="K172" s="56"/>
      <c r="L172" s="56"/>
      <c r="M172" s="56"/>
      <c r="N172" s="56"/>
      <c r="O172" s="56"/>
      <c r="P172" s="56"/>
      <c r="Q172" s="56"/>
      <c r="R172" s="57"/>
    </row>
    <row r="173" spans="1:18" s="8" customFormat="1">
      <c r="A173" s="76" t="s">
        <v>77</v>
      </c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68"/>
    </row>
    <row r="174" spans="1:18" s="8" customFormat="1" ht="18">
      <c r="A174" s="78" t="s">
        <v>27</v>
      </c>
      <c r="B174" s="79"/>
      <c r="C174" s="79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68"/>
    </row>
    <row r="175" spans="1:18" s="8" customFormat="1">
      <c r="A175" s="80" t="s">
        <v>78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68"/>
    </row>
    <row r="176" spans="1:18" s="8" customFormat="1">
      <c r="A176" s="73">
        <v>1</v>
      </c>
      <c r="B176" s="73" t="s">
        <v>34</v>
      </c>
      <c r="C176" s="12" t="s">
        <v>35</v>
      </c>
      <c r="D176" s="73" t="s">
        <v>31</v>
      </c>
      <c r="E176" s="73">
        <v>1</v>
      </c>
      <c r="F176" s="73" t="s">
        <v>41</v>
      </c>
      <c r="G176" s="73">
        <v>1</v>
      </c>
      <c r="H176" s="73" t="s">
        <v>33</v>
      </c>
      <c r="I176" s="73"/>
      <c r="J176" s="73">
        <v>130</v>
      </c>
      <c r="K176" s="73">
        <v>41</v>
      </c>
      <c r="L176" s="73">
        <v>33</v>
      </c>
      <c r="M176" s="73"/>
      <c r="N176" s="3">
        <f t="shared" ref="N176" si="72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4,1,IF(OR(F176="PČ",F176="PŽ",F176="PT"),IF(J176&lt;32,J176/32,1),1))* IF(L176&lt;4,1,IF(OR(F176="EČ",F176="EŽ",F176="JOŽ",F176="JPČ",F176="NEAK"),IF(J176&lt;24,J176/24,1),1))*IF(L176&lt;4,1,IF(OR(F176="PČneol",F176="JEČ",F176="JEOF",F176="JnPČ",F176="JnEČ",F176="JčPČ",F176="JčEČ"),IF(J176&lt;16,J176/16,1),1))*IF(L176&lt;4,1,IF(F176="EČneol",IF(J176&lt;8,J176/8,1),1))</f>
        <v>0</v>
      </c>
      <c r="O176" s="9">
        <f t="shared" ref="O176" si="73">IF(F176="OŽ",N176,IF(H176="Ne",IF(J176*0.3&lt;=J176-L176,N176,0),IF(J176*0.1&lt;=J176-L176,N176,0)))</f>
        <v>0</v>
      </c>
      <c r="P176" s="4">
        <f t="shared" ref="P176:P185" si="7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5" si="75">IF(ISERROR(P176*100/N176),0,(P176*100/N176))</f>
        <v>0</v>
      </c>
      <c r="R176" s="10">
        <f t="shared" ref="R176" si="76">IF(Q176&lt;=30,O176+P176,O176+O176*0.3)*IF(G176=1,0.4,IF(G176=2,0.75,IF(G176="1 (kas 4 m. 1 k. nerengiamos)",0.52,1)))*IF(D176="olimpinė",1,IF(M176="Ne",0.5,1))*IF(D176="olimpinė",1,IF(J176&lt;8,0,1))*E176*IF(D176="olimpinė",1,IF(K176&lt;16,0,1))*IF(I176&lt;=1,1,1/I176)*IF(OR(A$5="Lietuvos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7" spans="1:18" s="8" customFormat="1">
      <c r="A177" s="73">
        <v>2</v>
      </c>
      <c r="B177" s="73"/>
      <c r="C177" s="12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3">
        <f t="shared" ref="N177:N185" si="77">(IF(F177="OŽ",IF(L177=1,550.8,IF(L177=2,426.38,IF(L177=3,342.14,IF(L177=4,181.44,IF(L177=5,168.48,IF(L177=6,155.52,IF(L177=7,148.5,IF(L177=8,144,0))))))))+IF(L177&lt;=8,0,IF(L177&lt;=16,137.7,IF(L177&lt;=24,108,IF(L177&lt;=32,80.1,IF(L177&lt;=36,52.2,0)))))-IF(L177&lt;=8,0,IF(L177&lt;=16,(L177-9)*2.754,IF(L177&lt;=24,(L177-17)* 2.754,IF(L177&lt;=32,(L177-25)* 2.754,IF(L177&lt;=36,(L177-33)*2.754,0))))),0)+IF(F177="PČ",IF(L177=1,449,IF(L177=2,314.6,IF(L177=3,238,IF(L177=4,172,IF(L177=5,159,IF(L177=6,145,IF(L177=7,132,IF(L177=8,119,0))))))))+IF(L177&lt;=8,0,IF(L177&lt;=16,88,IF(L177&lt;=24,55,IF(L177&lt;=32,22,0))))-IF(L177&lt;=8,0,IF(L177&lt;=16,(L177-9)*2.245,IF(L177&lt;=24,(L177-17)*2.245,IF(L177&lt;=32,(L177-25)*2.245,0)))),0)+IF(F177="PČneol",IF(L177=1,85,IF(L177=2,64.61,IF(L177=3,50.76,IF(L177=4,16.25,IF(L177=5,15,IF(L177=6,13.75,IF(L177=7,12.5,IF(L177=8,11.25,0))))))))+IF(L177&lt;=8,0,IF(L177&lt;=16,9,0))-IF(L177&lt;=8,0,IF(L177&lt;=16,(L177-9)*0.425,0)),0)+IF(F177="PŽ",IF(L177=1,85,IF(L177=2,59.5,IF(L177=3,45,IF(L177=4,32.5,IF(L177=5,30,IF(L177=6,27.5,IF(L177=7,25,IF(L177=8,22.5,0))))))))+IF(L177&lt;=8,0,IF(L177&lt;=16,19,IF(L177&lt;=24,13,IF(L177&lt;=32,8,0))))-IF(L177&lt;=8,0,IF(L177&lt;=16,(L177-9)*0.425,IF(L177&lt;=24,(L177-17)*0.425,IF(L177&lt;=32,(L177-25)*0.425,0)))),0)+IF(F177="EČ",IF(L177=1,204,IF(L177=2,156.24,IF(L177=3,123.84,IF(L177=4,72,IF(L177=5,66,IF(L177=6,60,IF(L177=7,54,IF(L177=8,48,0))))))))+IF(L177&lt;=8,0,IF(L177&lt;=16,40,IF(L177&lt;=24,25,0)))-IF(L177&lt;=8,0,IF(L177&lt;=16,(L177-9)*1.02,IF(L177&lt;=24,(L177-17)*1.02,0))),0)+IF(F177="EČneol",IF(L177=1,68,IF(L177=2,51.69,IF(L177=3,40.61,IF(L177=4,13,IF(L177=5,12,IF(L177=6,11,IF(L177=7,10,IF(L177=8,9,0)))))))))+IF(F177="EŽ",IF(L177=1,68,IF(L177=2,47.6,IF(L177=3,36,IF(L177=4,18,IF(L177=5,16.5,IF(L177=6,15,IF(L177=7,13.5,IF(L177=8,12,0))))))))+IF(L177&lt;=8,0,IF(L177&lt;=16,10,IF(L177&lt;=24,6,0)))-IF(L177&lt;=8,0,IF(L177&lt;=16,(L177-9)*0.34,IF(L177&lt;=24,(L177-17)*0.34,0))),0)+IF(F177="PT",IF(L177=1,68,IF(L177=2,52.08,IF(L177=3,41.28,IF(L177=4,24,IF(L177=5,22,IF(L177=6,20,IF(L177=7,18,IF(L177=8,16,0))))))))+IF(L177&lt;=8,0,IF(L177&lt;=16,13,IF(L177&lt;=24,9,IF(L177&lt;=32,4,0))))-IF(L177&lt;=8,0,IF(L177&lt;=16,(L177-9)*0.34,IF(L177&lt;=24,(L177-17)*0.34,IF(L177&lt;=32,(L177-25)*0.34,0)))),0)+IF(F177="JOŽ",IF(L177=1,85,IF(L177=2,59.5,IF(L177=3,45,IF(L177=4,32.5,IF(L177=5,30,IF(L177=6,27.5,IF(L177=7,25,IF(L177=8,22.5,0))))))))+IF(L177&lt;=8,0,IF(L177&lt;=16,19,IF(L177&lt;=24,13,0)))-IF(L177&lt;=8,0,IF(L177&lt;=16,(L177-9)*0.425,IF(L177&lt;=24,(L177-17)*0.425,0))),0)+IF(F177="JPČ",IF(L177=1,68,IF(L177=2,47.6,IF(L177=3,36,IF(L177=4,26,IF(L177=5,24,IF(L177=6,22,IF(L177=7,20,IF(L177=8,18,0))))))))+IF(L177&lt;=8,0,IF(L177&lt;=16,13,IF(L177&lt;=24,9,0)))-IF(L177&lt;=8,0,IF(L177&lt;=16,(L177-9)*0.34,IF(L177&lt;=24,(L177-17)*0.34,0))),0)+IF(F177="JEČ",IF(L177=1,34,IF(L177=2,26.04,IF(L177=3,20.6,IF(L177=4,12,IF(L177=5,11,IF(L177=6,10,IF(L177=7,9,IF(L177=8,8,0))))))))+IF(L177&lt;=8,0,IF(L177&lt;=16,6,0))-IF(L177&lt;=8,0,IF(L177&lt;=16,(L177-9)*0.17,0)),0)+IF(F177="JEOF",IF(L177=1,34,IF(L177=2,26.04,IF(L177=3,20.6,IF(L177=4,12,IF(L177=5,11,IF(L177=6,10,IF(L177=7,9,IF(L177=8,8,0))))))))+IF(L177&lt;=8,0,IF(L177&lt;=16,6,0))-IF(L177&lt;=8,0,IF(L177&lt;=16,(L177-9)*0.17,0)),0)+IF(F177="JnPČ",IF(L177=1,51,IF(L177=2,35.7,IF(L177=3,27,IF(L177=4,19.5,IF(L177=5,18,IF(L177=6,16.5,IF(L177=7,15,IF(L177=8,13.5,0))))))))+IF(L177&lt;=8,0,IF(L177&lt;=16,10,0))-IF(L177&lt;=8,0,IF(L177&lt;=16,(L177-9)*0.255,0)),0)+IF(F177="JnEČ",IF(L177=1,25.5,IF(L177=2,19.53,IF(L177=3,15.48,IF(L177=4,9,IF(L177=5,8.25,IF(L177=6,7.5,IF(L177=7,6.75,IF(L177=8,6,0))))))))+IF(L177&lt;=8,0,IF(L177&lt;=16,5,0))-IF(L177&lt;=8,0,IF(L177&lt;=16,(L177-9)*0.1275,0)),0)+IF(F177="JčPČ",IF(L177=1,21.25,IF(L177=2,14.5,IF(L177=3,11.5,IF(L177=4,7,IF(L177=5,6.5,IF(L177=6,6,IF(L177=7,5.5,IF(L177=8,5,0))))))))+IF(L177&lt;=8,0,IF(L177&lt;=16,4,0))-IF(L177&lt;=8,0,IF(L177&lt;=16,(L177-9)*0.10625,0)),0)+IF(F177="JčEČ",IF(L177=1,17,IF(L177=2,13.02,IF(L177=3,10.32,IF(L177=4,6,IF(L177=5,5.5,IF(L177=6,5,IF(L177=7,4.5,IF(L177=8,4,0))))))))+IF(L177&lt;=8,0,IF(L177&lt;=16,3,0))-IF(L177&lt;=8,0,IF(L177&lt;=16,(L177-9)*0.085,0)),0)+IF(F177="NEAK",IF(L177=1,11.48,IF(L177=2,8.79,IF(L177=3,6.97,IF(L177=4,4.05,IF(L177=5,3.71,IF(L177=6,3.38,IF(L177=7,3.04,IF(L177=8,2.7,0))))))))+IF(L177&lt;=8,0,IF(L177&lt;=16,2,IF(L177&lt;=24,1.3,0)))-IF(L177&lt;=8,0,IF(L177&lt;=16,(L177-9)*0.0574,IF(L177&lt;=24,(L177-17)*0.0574,0))),0))*IF(L177&lt;0,1,IF(OR(F177="PČ",F177="PŽ",F177="PT"),IF(J177&lt;32,J177/32,1),1))* IF(L177&lt;0,1,IF(OR(F177="EČ",F177="EŽ",F177="JOŽ",F177="JPČ",F177="NEAK"),IF(J177&lt;24,J177/24,1),1))*IF(L177&lt;0,1,IF(OR(F177="PČneol",F177="JEČ",F177="JEOF",F177="JnPČ",F177="JnEČ",F177="JčPČ",F177="JčEČ"),IF(J177&lt;16,J177/16,1),1))*IF(L177&lt;0,1,IF(F177="EČneol",IF(J177&lt;8,J177/8,1),1))</f>
        <v>0</v>
      </c>
      <c r="O177" s="9">
        <f t="shared" ref="O177:O185" si="78">IF(F177="OŽ",N177,IF(H177="Ne",IF(J177*0.3&lt;J177-L177,N177,0),IF(J177*0.1&lt;J177-L177,N177,0)))</f>
        <v>0</v>
      </c>
      <c r="P177" s="4">
        <f t="shared" si="74"/>
        <v>0</v>
      </c>
      <c r="Q177" s="11">
        <f t="shared" si="75"/>
        <v>0</v>
      </c>
      <c r="R177" s="10">
        <f t="shared" ref="R177:R185" si="79">IF(Q177&lt;=30,O177+P177,O177+O177*0.3)*IF(G177=1,0.4,IF(G177=2,0.75,IF(G177="1 (kas 4 m. 1 k. nerengiamos)",0.52,1)))*IF(D177="olimpinė",1,IF(M177="Ne",0.5,1))*IF(OR(A$5="Lietuvos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federacija"),IF(OR(J177&lt;8,K177&lt;16),0,1),1)*E177*IF(I177&lt;=1,1,1/I177)*IF(OR(A$5="Lietuvos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8" spans="1:18" s="8" customFormat="1">
      <c r="A178" s="73">
        <v>3</v>
      </c>
      <c r="B178" s="73"/>
      <c r="C178" s="12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3">
        <f t="shared" si="77"/>
        <v>0</v>
      </c>
      <c r="O178" s="9">
        <f t="shared" si="78"/>
        <v>0</v>
      </c>
      <c r="P178" s="4">
        <f t="shared" si="74"/>
        <v>0</v>
      </c>
      <c r="Q178" s="11">
        <f t="shared" si="75"/>
        <v>0</v>
      </c>
      <c r="R178" s="10">
        <f t="shared" si="79"/>
        <v>0</v>
      </c>
    </row>
    <row r="179" spans="1:18" s="8" customFormat="1">
      <c r="A179" s="73">
        <v>4</v>
      </c>
      <c r="B179" s="73"/>
      <c r="C179" s="12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3">
        <f t="shared" si="77"/>
        <v>0</v>
      </c>
      <c r="O179" s="9">
        <f t="shared" si="78"/>
        <v>0</v>
      </c>
      <c r="P179" s="4">
        <f t="shared" si="74"/>
        <v>0</v>
      </c>
      <c r="Q179" s="11">
        <f t="shared" si="75"/>
        <v>0</v>
      </c>
      <c r="R179" s="10">
        <f t="shared" si="79"/>
        <v>0</v>
      </c>
    </row>
    <row r="180" spans="1:18" s="8" customFormat="1">
      <c r="A180" s="73">
        <v>5</v>
      </c>
      <c r="B180" s="73"/>
      <c r="C180" s="12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3">
        <f t="shared" si="77"/>
        <v>0</v>
      </c>
      <c r="O180" s="9">
        <f t="shared" si="78"/>
        <v>0</v>
      </c>
      <c r="P180" s="4">
        <f t="shared" si="74"/>
        <v>0</v>
      </c>
      <c r="Q180" s="11">
        <f t="shared" si="75"/>
        <v>0</v>
      </c>
      <c r="R180" s="10">
        <f t="shared" si="79"/>
        <v>0</v>
      </c>
    </row>
    <row r="181" spans="1:18" s="8" customFormat="1">
      <c r="A181" s="73">
        <v>6</v>
      </c>
      <c r="B181" s="73"/>
      <c r="C181" s="12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3">
        <f t="shared" si="77"/>
        <v>0</v>
      </c>
      <c r="O181" s="9">
        <f t="shared" si="78"/>
        <v>0</v>
      </c>
      <c r="P181" s="4">
        <f t="shared" si="74"/>
        <v>0</v>
      </c>
      <c r="Q181" s="11">
        <f t="shared" si="75"/>
        <v>0</v>
      </c>
      <c r="R181" s="10">
        <f t="shared" si="79"/>
        <v>0</v>
      </c>
    </row>
    <row r="182" spans="1:18" s="8" customFormat="1">
      <c r="A182" s="73">
        <v>7</v>
      </c>
      <c r="B182" s="73"/>
      <c r="C182" s="12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3">
        <f t="shared" si="77"/>
        <v>0</v>
      </c>
      <c r="O182" s="9">
        <f t="shared" si="78"/>
        <v>0</v>
      </c>
      <c r="P182" s="4">
        <f t="shared" si="74"/>
        <v>0</v>
      </c>
      <c r="Q182" s="11">
        <f t="shared" si="75"/>
        <v>0</v>
      </c>
      <c r="R182" s="10">
        <f t="shared" si="79"/>
        <v>0</v>
      </c>
    </row>
    <row r="183" spans="1:18" s="8" customFormat="1">
      <c r="A183" s="73">
        <v>8</v>
      </c>
      <c r="B183" s="73"/>
      <c r="C183" s="12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3">
        <f t="shared" si="77"/>
        <v>0</v>
      </c>
      <c r="O183" s="9">
        <f t="shared" si="78"/>
        <v>0</v>
      </c>
      <c r="P183" s="4">
        <f t="shared" si="74"/>
        <v>0</v>
      </c>
      <c r="Q183" s="11">
        <f t="shared" si="75"/>
        <v>0</v>
      </c>
      <c r="R183" s="10">
        <f t="shared" si="79"/>
        <v>0</v>
      </c>
    </row>
    <row r="184" spans="1:18" s="8" customFormat="1">
      <c r="A184" s="73">
        <v>9</v>
      </c>
      <c r="B184" s="73"/>
      <c r="C184" s="12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3">
        <f t="shared" si="77"/>
        <v>0</v>
      </c>
      <c r="O184" s="9">
        <f t="shared" si="78"/>
        <v>0</v>
      </c>
      <c r="P184" s="4">
        <f t="shared" si="74"/>
        <v>0</v>
      </c>
      <c r="Q184" s="11">
        <f t="shared" si="75"/>
        <v>0</v>
      </c>
      <c r="R184" s="10">
        <f t="shared" si="79"/>
        <v>0</v>
      </c>
    </row>
    <row r="185" spans="1:18" s="8" customFormat="1">
      <c r="A185" s="73">
        <v>10</v>
      </c>
      <c r="B185" s="73"/>
      <c r="C185" s="12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3">
        <f t="shared" si="77"/>
        <v>0</v>
      </c>
      <c r="O185" s="9">
        <f t="shared" si="78"/>
        <v>0</v>
      </c>
      <c r="P185" s="4">
        <f t="shared" si="74"/>
        <v>0</v>
      </c>
      <c r="Q185" s="11">
        <f t="shared" si="75"/>
        <v>0</v>
      </c>
      <c r="R185" s="10">
        <f t="shared" si="79"/>
        <v>0</v>
      </c>
    </row>
    <row r="186" spans="1:18" s="8" customFormat="1">
      <c r="A186" s="82" t="s">
        <v>36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4"/>
      <c r="R186" s="10">
        <f>SUM(R176:R185)</f>
        <v>0</v>
      </c>
    </row>
    <row r="187" spans="1:18" s="8" customFormat="1" ht="15.75">
      <c r="A187" s="24" t="s">
        <v>37</v>
      </c>
      <c r="B187" s="24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7"/>
    </row>
    <row r="188" spans="1:18" s="8" customFormat="1">
      <c r="A188" s="49" t="s">
        <v>49</v>
      </c>
      <c r="B188" s="49"/>
      <c r="C188" s="49"/>
      <c r="D188" s="49"/>
      <c r="E188" s="49"/>
      <c r="F188" s="49"/>
      <c r="G188" s="49"/>
      <c r="H188" s="49"/>
      <c r="I188" s="49"/>
      <c r="J188" s="56"/>
      <c r="K188" s="56"/>
      <c r="L188" s="56"/>
      <c r="M188" s="56"/>
      <c r="N188" s="56"/>
      <c r="O188" s="56"/>
      <c r="P188" s="56"/>
      <c r="Q188" s="56"/>
      <c r="R188" s="57"/>
    </row>
    <row r="189" spans="1:18" s="8" customFormat="1">
      <c r="A189" s="49"/>
      <c r="B189" s="49"/>
      <c r="C189" s="49"/>
      <c r="D189" s="49"/>
      <c r="E189" s="49"/>
      <c r="F189" s="49"/>
      <c r="G189" s="49"/>
      <c r="H189" s="49"/>
      <c r="I189" s="49"/>
      <c r="J189" s="56"/>
      <c r="K189" s="56"/>
      <c r="L189" s="56"/>
      <c r="M189" s="56"/>
      <c r="N189" s="56"/>
      <c r="O189" s="56"/>
      <c r="P189" s="56"/>
      <c r="Q189" s="56"/>
      <c r="R189" s="57"/>
    </row>
    <row r="190" spans="1:18" s="8" customFormat="1">
      <c r="A190" s="76" t="s">
        <v>79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68"/>
    </row>
    <row r="191" spans="1:18" s="8" customFormat="1" ht="18">
      <c r="A191" s="78" t="s">
        <v>27</v>
      </c>
      <c r="B191" s="79"/>
      <c r="C191" s="79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68"/>
    </row>
    <row r="192" spans="1:18" s="8" customFormat="1">
      <c r="A192" s="80" t="s">
        <v>80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68"/>
    </row>
    <row r="193" spans="1:18" s="8" customFormat="1">
      <c r="A193" s="73">
        <v>1</v>
      </c>
      <c r="B193" s="73" t="s">
        <v>42</v>
      </c>
      <c r="C193" s="12" t="s">
        <v>30</v>
      </c>
      <c r="D193" s="73" t="s">
        <v>31</v>
      </c>
      <c r="E193" s="73">
        <v>1</v>
      </c>
      <c r="F193" s="73" t="s">
        <v>54</v>
      </c>
      <c r="G193" s="73">
        <v>1</v>
      </c>
      <c r="H193" s="73" t="s">
        <v>33</v>
      </c>
      <c r="I193" s="73"/>
      <c r="J193" s="73">
        <v>91</v>
      </c>
      <c r="K193" s="73">
        <v>28</v>
      </c>
      <c r="L193" s="73">
        <v>37</v>
      </c>
      <c r="M193" s="73"/>
      <c r="N193" s="3">
        <f t="shared" ref="N193" si="80">(IF(F193="OŽ",IF(L193=1,550.8,IF(L193=2,426.38,IF(L193=3,342.14,IF(L193=4,181.44,IF(L193=5,168.48,IF(L193=6,155.52,IF(L193=7,148.5,IF(L193=8,144,0))))))))+IF(L193&lt;=8,0,IF(L193&lt;=16,137.7,IF(L193&lt;=24,108,IF(L193&lt;=32,80.1,IF(L193&lt;=36,52.2,0)))))-IF(L193&lt;=8,0,IF(L193&lt;=16,(L193-9)*2.754,IF(L193&lt;=24,(L193-17)* 2.754,IF(L193&lt;=32,(L193-25)* 2.754,IF(L193&lt;=36,(L193-33)*2.754,0))))),0)+IF(F193="PČ",IF(L193=1,449,IF(L193=2,314.6,IF(L193=3,238,IF(L193=4,172,IF(L193=5,159,IF(L193=6,145,IF(L193=7,132,IF(L193=8,119,0))))))))+IF(L193&lt;=8,0,IF(L193&lt;=16,88,IF(L193&lt;=24,55,IF(L193&lt;=32,22,0))))-IF(L193&lt;=8,0,IF(L193&lt;=16,(L193-9)*2.245,IF(L193&lt;=24,(L193-17)*2.245,IF(L193&lt;=32,(L193-25)*2.245,0)))),0)+IF(F193="PČneol",IF(L193=1,85,IF(L193=2,64.61,IF(L193=3,50.76,IF(L193=4,16.25,IF(L193=5,15,IF(L193=6,13.75,IF(L193=7,12.5,IF(L193=8,11.25,0))))))))+IF(L193&lt;=8,0,IF(L193&lt;=16,9,0))-IF(L193&lt;=8,0,IF(L193&lt;=16,(L193-9)*0.425,0)),0)+IF(F193="PŽ",IF(L193=1,85,IF(L193=2,59.5,IF(L193=3,45,IF(L193=4,32.5,IF(L193=5,30,IF(L193=6,27.5,IF(L193=7,25,IF(L193=8,22.5,0))))))))+IF(L193&lt;=8,0,IF(L193&lt;=16,19,IF(L193&lt;=24,13,IF(L193&lt;=32,8,0))))-IF(L193&lt;=8,0,IF(L193&lt;=16,(L193-9)*0.425,IF(L193&lt;=24,(L193-17)*0.425,IF(L193&lt;=32,(L193-25)*0.425,0)))),0)+IF(F193="EČ",IF(L193=1,204,IF(L193=2,156.24,IF(L193=3,123.84,IF(L193=4,72,IF(L193=5,66,IF(L193=6,60,IF(L193=7,54,IF(L193=8,48,0))))))))+IF(L193&lt;=8,0,IF(L193&lt;=16,40,IF(L193&lt;=24,25,0)))-IF(L193&lt;=8,0,IF(L193&lt;=16,(L193-9)*1.02,IF(L193&lt;=24,(L193-17)*1.02,0))),0)+IF(F193="EČneol",IF(L193=1,68,IF(L193=2,51.69,IF(L193=3,40.61,IF(L193=4,13,IF(L193=5,12,IF(L193=6,11,IF(L193=7,10,IF(L193=8,9,0)))))))))+IF(F193="EŽ",IF(L193=1,68,IF(L193=2,47.6,IF(L193=3,36,IF(L193=4,18,IF(L193=5,16.5,IF(L193=6,15,IF(L193=7,13.5,IF(L193=8,12,0))))))))+IF(L193&lt;=8,0,IF(L193&lt;=16,10,IF(L193&lt;=24,6,0)))-IF(L193&lt;=8,0,IF(L193&lt;=16,(L193-9)*0.34,IF(L193&lt;=24,(L193-17)*0.34,0))),0)+IF(F193="PT",IF(L193=1,68,IF(L193=2,52.08,IF(L193=3,41.28,IF(L193=4,24,IF(L193=5,22,IF(L193=6,20,IF(L193=7,18,IF(L193=8,16,0))))))))+IF(L193&lt;=8,0,IF(L193&lt;=16,13,IF(L193&lt;=24,9,IF(L193&lt;=32,4,0))))-IF(L193&lt;=8,0,IF(L193&lt;=16,(L193-9)*0.34,IF(L193&lt;=24,(L193-17)*0.34,IF(L193&lt;=32,(L193-25)*0.34,0)))),0)+IF(F193="JOŽ",IF(L193=1,85,IF(L193=2,59.5,IF(L193=3,45,IF(L193=4,32.5,IF(L193=5,30,IF(L193=6,27.5,IF(L193=7,25,IF(L193=8,22.5,0))))))))+IF(L193&lt;=8,0,IF(L193&lt;=16,19,IF(L193&lt;=24,13,0)))-IF(L193&lt;=8,0,IF(L193&lt;=16,(L193-9)*0.425,IF(L193&lt;=24,(L193-17)*0.425,0))),0)+IF(F193="JPČ",IF(L193=1,68,IF(L193=2,47.6,IF(L193=3,36,IF(L193=4,26,IF(L193=5,24,IF(L193=6,22,IF(L193=7,20,IF(L193=8,18,0))))))))+IF(L193&lt;=8,0,IF(L193&lt;=16,13,IF(L193&lt;=24,9,0)))-IF(L193&lt;=8,0,IF(L193&lt;=16,(L193-9)*0.34,IF(L193&lt;=24,(L193-17)*0.34,0))),0)+IF(F193="JEČ",IF(L193=1,34,IF(L193=2,26.04,IF(L193=3,20.6,IF(L193=4,12,IF(L193=5,11,IF(L193=6,10,IF(L193=7,9,IF(L193=8,8,0))))))))+IF(L193&lt;=8,0,IF(L193&lt;=16,6,0))-IF(L193&lt;=8,0,IF(L193&lt;=16,(L193-9)*0.17,0)),0)+IF(F193="JEOF",IF(L193=1,34,IF(L193=2,26.04,IF(L193=3,20.6,IF(L193=4,12,IF(L193=5,11,IF(L193=6,10,IF(L193=7,9,IF(L193=8,8,0))))))))+IF(L193&lt;=8,0,IF(L193&lt;=16,6,0))-IF(L193&lt;=8,0,IF(L193&lt;=16,(L193-9)*0.17,0)),0)+IF(F193="JnPČ",IF(L193=1,51,IF(L193=2,35.7,IF(L193=3,27,IF(L193=4,19.5,IF(L193=5,18,IF(L193=6,16.5,IF(L193=7,15,IF(L193=8,13.5,0))))))))+IF(L193&lt;=8,0,IF(L193&lt;=16,10,0))-IF(L193&lt;=8,0,IF(L193&lt;=16,(L193-9)*0.255,0)),0)+IF(F193="JnEČ",IF(L193=1,25.5,IF(L193=2,19.53,IF(L193=3,15.48,IF(L193=4,9,IF(L193=5,8.25,IF(L193=6,7.5,IF(L193=7,6.75,IF(L193=8,6,0))))))))+IF(L193&lt;=8,0,IF(L193&lt;=16,5,0))-IF(L193&lt;=8,0,IF(L193&lt;=16,(L193-9)*0.1275,0)),0)+IF(F193="JčPČ",IF(L193=1,21.25,IF(L193=2,14.5,IF(L193=3,11.5,IF(L193=4,7,IF(L193=5,6.5,IF(L193=6,6,IF(L193=7,5.5,IF(L193=8,5,0))))))))+IF(L193&lt;=8,0,IF(L193&lt;=16,4,0))-IF(L193&lt;=8,0,IF(L193&lt;=16,(L193-9)*0.10625,0)),0)+IF(F193="JčEČ",IF(L193=1,17,IF(L193=2,13.02,IF(L193=3,10.32,IF(L193=4,6,IF(L193=5,5.5,IF(L193=6,5,IF(L193=7,4.5,IF(L193=8,4,0))))))))+IF(L193&lt;=8,0,IF(L193&lt;=16,3,0))-IF(L193&lt;=8,0,IF(L193&lt;=16,(L193-9)*0.085,0)),0)+IF(F193="NEAK",IF(L193=1,11.48,IF(L193=2,8.79,IF(L193=3,6.97,IF(L193=4,4.05,IF(L193=5,3.71,IF(L193=6,3.38,IF(L193=7,3.04,IF(L193=8,2.7,0))))))))+IF(L193&lt;=8,0,IF(L193&lt;=16,2,IF(L193&lt;=24,1.3,0)))-IF(L193&lt;=8,0,IF(L193&lt;=16,(L193-9)*0.0574,IF(L193&lt;=24,(L193-17)*0.0574,0))),0))*IF(L193&lt;4,1,IF(OR(F193="PČ",F193="PŽ",F193="PT"),IF(J193&lt;32,J193/32,1),1))* IF(L193&lt;4,1,IF(OR(F193="EČ",F193="EŽ",F193="JOŽ",F193="JPČ",F193="NEAK"),IF(J193&lt;24,J193/24,1),1))*IF(L193&lt;4,1,IF(OR(F193="PČneol",F193="JEČ",F193="JEOF",F193="JnPČ",F193="JnEČ",F193="JčPČ",F193="JčEČ"),IF(J193&lt;16,J193/16,1),1))*IF(L193&lt;4,1,IF(F193="EČneol",IF(J193&lt;8,J193/8,1),1))</f>
        <v>0</v>
      </c>
      <c r="O193" s="9">
        <f t="shared" ref="O193" si="81">IF(F193="OŽ",N193,IF(H193="Ne",IF(J193*0.3&lt;=J193-L193,N193,0),IF(J193*0.1&lt;=J193-L193,N193,0)))</f>
        <v>0</v>
      </c>
      <c r="P193" s="4">
        <f t="shared" ref="P193:P202" si="82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2" si="83">IF(ISERROR(P193*100/N193),0,(P193*100/N193))</f>
        <v>0</v>
      </c>
      <c r="R193" s="10">
        <f t="shared" ref="R193" si="84">IF(Q193&lt;=30,O193+P193,O193+O193*0.3)*IF(G193=1,0.4,IF(G193=2,0.75,IF(G193="1 (kas 4 m. 1 k. nerengiamos)",0.52,1)))*IF(D193="olimpinė",1,IF(M193="Ne",0.5,1))*IF(D193="olimpinė",1,IF(J193&lt;8,0,1))*E193*IF(D193="olimpinė",1,IF(K193&lt;16,0,1))*IF(I193&lt;=1,1,1/I193)*IF(OR(A$5="Lietuvos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4" spans="1:18" s="8" customFormat="1">
      <c r="A194" s="73">
        <v>2</v>
      </c>
      <c r="B194" s="73"/>
      <c r="C194" s="12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3">
        <f t="shared" ref="N194:N202" si="85">(IF(F194="OŽ",IF(L194=1,550.8,IF(L194=2,426.38,IF(L194=3,342.14,IF(L194=4,181.44,IF(L194=5,168.48,IF(L194=6,155.52,IF(L194=7,148.5,IF(L194=8,144,0))))))))+IF(L194&lt;=8,0,IF(L194&lt;=16,137.7,IF(L194&lt;=24,108,IF(L194&lt;=32,80.1,IF(L194&lt;=36,52.2,0)))))-IF(L194&lt;=8,0,IF(L194&lt;=16,(L194-9)*2.754,IF(L194&lt;=24,(L194-17)* 2.754,IF(L194&lt;=32,(L194-25)* 2.754,IF(L194&lt;=36,(L194-33)*2.754,0))))),0)+IF(F194="PČ",IF(L194=1,449,IF(L194=2,314.6,IF(L194=3,238,IF(L194=4,172,IF(L194=5,159,IF(L194=6,145,IF(L194=7,132,IF(L194=8,119,0))))))))+IF(L194&lt;=8,0,IF(L194&lt;=16,88,IF(L194&lt;=24,55,IF(L194&lt;=32,22,0))))-IF(L194&lt;=8,0,IF(L194&lt;=16,(L194-9)*2.245,IF(L194&lt;=24,(L194-17)*2.245,IF(L194&lt;=32,(L194-25)*2.245,0)))),0)+IF(F194="PČneol",IF(L194=1,85,IF(L194=2,64.61,IF(L194=3,50.76,IF(L194=4,16.25,IF(L194=5,15,IF(L194=6,13.75,IF(L194=7,12.5,IF(L194=8,11.25,0))))))))+IF(L194&lt;=8,0,IF(L194&lt;=16,9,0))-IF(L194&lt;=8,0,IF(L194&lt;=16,(L194-9)*0.425,0)),0)+IF(F194="PŽ",IF(L194=1,85,IF(L194=2,59.5,IF(L194=3,45,IF(L194=4,32.5,IF(L194=5,30,IF(L194=6,27.5,IF(L194=7,25,IF(L194=8,22.5,0))))))))+IF(L194&lt;=8,0,IF(L194&lt;=16,19,IF(L194&lt;=24,13,IF(L194&lt;=32,8,0))))-IF(L194&lt;=8,0,IF(L194&lt;=16,(L194-9)*0.425,IF(L194&lt;=24,(L194-17)*0.425,IF(L194&lt;=32,(L194-25)*0.425,0)))),0)+IF(F194="EČ",IF(L194=1,204,IF(L194=2,156.24,IF(L194=3,123.84,IF(L194=4,72,IF(L194=5,66,IF(L194=6,60,IF(L194=7,54,IF(L194=8,48,0))))))))+IF(L194&lt;=8,0,IF(L194&lt;=16,40,IF(L194&lt;=24,25,0)))-IF(L194&lt;=8,0,IF(L194&lt;=16,(L194-9)*1.02,IF(L194&lt;=24,(L194-17)*1.02,0))),0)+IF(F194="EČneol",IF(L194=1,68,IF(L194=2,51.69,IF(L194=3,40.61,IF(L194=4,13,IF(L194=5,12,IF(L194=6,11,IF(L194=7,10,IF(L194=8,9,0)))))))))+IF(F194="EŽ",IF(L194=1,68,IF(L194=2,47.6,IF(L194=3,36,IF(L194=4,18,IF(L194=5,16.5,IF(L194=6,15,IF(L194=7,13.5,IF(L194=8,12,0))))))))+IF(L194&lt;=8,0,IF(L194&lt;=16,10,IF(L194&lt;=24,6,0)))-IF(L194&lt;=8,0,IF(L194&lt;=16,(L194-9)*0.34,IF(L194&lt;=24,(L194-17)*0.34,0))),0)+IF(F194="PT",IF(L194=1,68,IF(L194=2,52.08,IF(L194=3,41.28,IF(L194=4,24,IF(L194=5,22,IF(L194=6,20,IF(L194=7,18,IF(L194=8,16,0))))))))+IF(L194&lt;=8,0,IF(L194&lt;=16,13,IF(L194&lt;=24,9,IF(L194&lt;=32,4,0))))-IF(L194&lt;=8,0,IF(L194&lt;=16,(L194-9)*0.34,IF(L194&lt;=24,(L194-17)*0.34,IF(L194&lt;=32,(L194-25)*0.34,0)))),0)+IF(F194="JOŽ",IF(L194=1,85,IF(L194=2,59.5,IF(L194=3,45,IF(L194=4,32.5,IF(L194=5,30,IF(L194=6,27.5,IF(L194=7,25,IF(L194=8,22.5,0))))))))+IF(L194&lt;=8,0,IF(L194&lt;=16,19,IF(L194&lt;=24,13,0)))-IF(L194&lt;=8,0,IF(L194&lt;=16,(L194-9)*0.425,IF(L194&lt;=24,(L194-17)*0.425,0))),0)+IF(F194="JPČ",IF(L194=1,68,IF(L194=2,47.6,IF(L194=3,36,IF(L194=4,26,IF(L194=5,24,IF(L194=6,22,IF(L194=7,20,IF(L194=8,18,0))))))))+IF(L194&lt;=8,0,IF(L194&lt;=16,13,IF(L194&lt;=24,9,0)))-IF(L194&lt;=8,0,IF(L194&lt;=16,(L194-9)*0.34,IF(L194&lt;=24,(L194-17)*0.34,0))),0)+IF(F194="JEČ",IF(L194=1,34,IF(L194=2,26.04,IF(L194=3,20.6,IF(L194=4,12,IF(L194=5,11,IF(L194=6,10,IF(L194=7,9,IF(L194=8,8,0))))))))+IF(L194&lt;=8,0,IF(L194&lt;=16,6,0))-IF(L194&lt;=8,0,IF(L194&lt;=16,(L194-9)*0.17,0)),0)+IF(F194="JEOF",IF(L194=1,34,IF(L194=2,26.04,IF(L194=3,20.6,IF(L194=4,12,IF(L194=5,11,IF(L194=6,10,IF(L194=7,9,IF(L194=8,8,0))))))))+IF(L194&lt;=8,0,IF(L194&lt;=16,6,0))-IF(L194&lt;=8,0,IF(L194&lt;=16,(L194-9)*0.17,0)),0)+IF(F194="JnPČ",IF(L194=1,51,IF(L194=2,35.7,IF(L194=3,27,IF(L194=4,19.5,IF(L194=5,18,IF(L194=6,16.5,IF(L194=7,15,IF(L194=8,13.5,0))))))))+IF(L194&lt;=8,0,IF(L194&lt;=16,10,0))-IF(L194&lt;=8,0,IF(L194&lt;=16,(L194-9)*0.255,0)),0)+IF(F194="JnEČ",IF(L194=1,25.5,IF(L194=2,19.53,IF(L194=3,15.48,IF(L194=4,9,IF(L194=5,8.25,IF(L194=6,7.5,IF(L194=7,6.75,IF(L194=8,6,0))))))))+IF(L194&lt;=8,0,IF(L194&lt;=16,5,0))-IF(L194&lt;=8,0,IF(L194&lt;=16,(L194-9)*0.1275,0)),0)+IF(F194="JčPČ",IF(L194=1,21.25,IF(L194=2,14.5,IF(L194=3,11.5,IF(L194=4,7,IF(L194=5,6.5,IF(L194=6,6,IF(L194=7,5.5,IF(L194=8,5,0))))))))+IF(L194&lt;=8,0,IF(L194&lt;=16,4,0))-IF(L194&lt;=8,0,IF(L194&lt;=16,(L194-9)*0.10625,0)),0)+IF(F194="JčEČ",IF(L194=1,17,IF(L194=2,13.02,IF(L194=3,10.32,IF(L194=4,6,IF(L194=5,5.5,IF(L194=6,5,IF(L194=7,4.5,IF(L194=8,4,0))))))))+IF(L194&lt;=8,0,IF(L194&lt;=16,3,0))-IF(L194&lt;=8,0,IF(L194&lt;=16,(L194-9)*0.085,0)),0)+IF(F194="NEAK",IF(L194=1,11.48,IF(L194=2,8.79,IF(L194=3,6.97,IF(L194=4,4.05,IF(L194=5,3.71,IF(L194=6,3.38,IF(L194=7,3.04,IF(L194=8,2.7,0))))))))+IF(L194&lt;=8,0,IF(L194&lt;=16,2,IF(L194&lt;=24,1.3,0)))-IF(L194&lt;=8,0,IF(L194&lt;=16,(L194-9)*0.0574,IF(L194&lt;=24,(L194-17)*0.0574,0))),0))*IF(L194&lt;0,1,IF(OR(F194="PČ",F194="PŽ",F194="PT"),IF(J194&lt;32,J194/32,1),1))* IF(L194&lt;0,1,IF(OR(F194="EČ",F194="EŽ",F194="JOŽ",F194="JPČ",F194="NEAK"),IF(J194&lt;24,J194/24,1),1))*IF(L194&lt;0,1,IF(OR(F194="PČneol",F194="JEČ",F194="JEOF",F194="JnPČ",F194="JnEČ",F194="JčPČ",F194="JčEČ"),IF(J194&lt;16,J194/16,1),1))*IF(L194&lt;0,1,IF(F194="EČneol",IF(J194&lt;8,J194/8,1),1))</f>
        <v>0</v>
      </c>
      <c r="O194" s="9">
        <f t="shared" ref="O194:O202" si="86">IF(F194="OŽ",N194,IF(H194="Ne",IF(J194*0.3&lt;J194-L194,N194,0),IF(J194*0.1&lt;J194-L194,N194,0)))</f>
        <v>0</v>
      </c>
      <c r="P194" s="4">
        <f t="shared" si="82"/>
        <v>0</v>
      </c>
      <c r="Q194" s="11">
        <f t="shared" si="83"/>
        <v>0</v>
      </c>
      <c r="R194" s="10">
        <f t="shared" ref="R194:R202" si="87">IF(Q194&lt;=30,O194+P194,O194+O194*0.3)*IF(G194=1,0.4,IF(G194=2,0.75,IF(G194="1 (kas 4 m. 1 k. nerengiamos)",0.52,1)))*IF(D194="olimpinė",1,IF(M194="Ne",0.5,1))*IF(OR(A$5="Lietuvos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federacija"),IF(OR(J194&lt;8,K194&lt;16),0,1),1)*E194*IF(I194&lt;=1,1,1/I194)*IF(OR(A$5="Lietuvos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5" spans="1:18" s="8" customFormat="1">
      <c r="A195" s="73">
        <v>3</v>
      </c>
      <c r="B195" s="73"/>
      <c r="C195" s="12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3">
        <f t="shared" si="85"/>
        <v>0</v>
      </c>
      <c r="O195" s="9">
        <f t="shared" si="86"/>
        <v>0</v>
      </c>
      <c r="P195" s="4">
        <f t="shared" si="82"/>
        <v>0</v>
      </c>
      <c r="Q195" s="11">
        <f t="shared" si="83"/>
        <v>0</v>
      </c>
      <c r="R195" s="10">
        <f t="shared" si="87"/>
        <v>0</v>
      </c>
    </row>
    <row r="196" spans="1:18" s="8" customFormat="1">
      <c r="A196" s="73">
        <v>4</v>
      </c>
      <c r="B196" s="73"/>
      <c r="C196" s="12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3">
        <f t="shared" si="85"/>
        <v>0</v>
      </c>
      <c r="O196" s="9">
        <f t="shared" si="86"/>
        <v>0</v>
      </c>
      <c r="P196" s="4">
        <f t="shared" si="82"/>
        <v>0</v>
      </c>
      <c r="Q196" s="11">
        <f t="shared" si="83"/>
        <v>0</v>
      </c>
      <c r="R196" s="10">
        <f t="shared" si="87"/>
        <v>0</v>
      </c>
    </row>
    <row r="197" spans="1:18" s="8" customFormat="1">
      <c r="A197" s="73">
        <v>5</v>
      </c>
      <c r="B197" s="73"/>
      <c r="C197" s="12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3">
        <f t="shared" si="85"/>
        <v>0</v>
      </c>
      <c r="O197" s="9">
        <f t="shared" si="86"/>
        <v>0</v>
      </c>
      <c r="P197" s="4">
        <f t="shared" si="82"/>
        <v>0</v>
      </c>
      <c r="Q197" s="11">
        <f t="shared" si="83"/>
        <v>0</v>
      </c>
      <c r="R197" s="10">
        <f t="shared" si="87"/>
        <v>0</v>
      </c>
    </row>
    <row r="198" spans="1:18" s="8" customFormat="1">
      <c r="A198" s="73">
        <v>6</v>
      </c>
      <c r="B198" s="73"/>
      <c r="C198" s="12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3">
        <f t="shared" si="85"/>
        <v>0</v>
      </c>
      <c r="O198" s="9">
        <f t="shared" si="86"/>
        <v>0</v>
      </c>
      <c r="P198" s="4">
        <f t="shared" si="82"/>
        <v>0</v>
      </c>
      <c r="Q198" s="11">
        <f t="shared" si="83"/>
        <v>0</v>
      </c>
      <c r="R198" s="10">
        <f t="shared" si="87"/>
        <v>0</v>
      </c>
    </row>
    <row r="199" spans="1:18" s="8" customFormat="1">
      <c r="A199" s="73">
        <v>7</v>
      </c>
      <c r="B199" s="73"/>
      <c r="C199" s="12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3">
        <f t="shared" si="85"/>
        <v>0</v>
      </c>
      <c r="O199" s="9">
        <f t="shared" si="86"/>
        <v>0</v>
      </c>
      <c r="P199" s="4">
        <f t="shared" si="82"/>
        <v>0</v>
      </c>
      <c r="Q199" s="11">
        <f t="shared" si="83"/>
        <v>0</v>
      </c>
      <c r="R199" s="10">
        <f t="shared" si="87"/>
        <v>0</v>
      </c>
    </row>
    <row r="200" spans="1:18" s="8" customFormat="1">
      <c r="A200" s="73">
        <v>8</v>
      </c>
      <c r="B200" s="73"/>
      <c r="C200" s="12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3">
        <f t="shared" si="85"/>
        <v>0</v>
      </c>
      <c r="O200" s="9">
        <f t="shared" si="86"/>
        <v>0</v>
      </c>
      <c r="P200" s="4">
        <f t="shared" si="82"/>
        <v>0</v>
      </c>
      <c r="Q200" s="11">
        <f t="shared" si="83"/>
        <v>0</v>
      </c>
      <c r="R200" s="10">
        <f t="shared" si="87"/>
        <v>0</v>
      </c>
    </row>
    <row r="201" spans="1:18" s="8" customFormat="1">
      <c r="A201" s="73">
        <v>9</v>
      </c>
      <c r="B201" s="73"/>
      <c r="C201" s="12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3">
        <f t="shared" si="85"/>
        <v>0</v>
      </c>
      <c r="O201" s="9">
        <f t="shared" si="86"/>
        <v>0</v>
      </c>
      <c r="P201" s="4">
        <f t="shared" si="82"/>
        <v>0</v>
      </c>
      <c r="Q201" s="11">
        <f t="shared" si="83"/>
        <v>0</v>
      </c>
      <c r="R201" s="10">
        <f t="shared" si="87"/>
        <v>0</v>
      </c>
    </row>
    <row r="202" spans="1:18" s="8" customFormat="1">
      <c r="A202" s="73">
        <v>10</v>
      </c>
      <c r="B202" s="73"/>
      <c r="C202" s="12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3">
        <f t="shared" si="85"/>
        <v>0</v>
      </c>
      <c r="O202" s="9">
        <f t="shared" si="86"/>
        <v>0</v>
      </c>
      <c r="P202" s="4">
        <f t="shared" si="82"/>
        <v>0</v>
      </c>
      <c r="Q202" s="11">
        <f t="shared" si="83"/>
        <v>0</v>
      </c>
      <c r="R202" s="10">
        <f t="shared" si="87"/>
        <v>0</v>
      </c>
    </row>
    <row r="203" spans="1:18" s="8" customFormat="1">
      <c r="A203" s="82" t="s">
        <v>36</v>
      </c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4"/>
      <c r="R203" s="10">
        <f>SUM(R193:R202)</f>
        <v>0</v>
      </c>
    </row>
    <row r="204" spans="1:18" s="8" customFormat="1" ht="15.75">
      <c r="A204" s="24" t="s">
        <v>37</v>
      </c>
      <c r="B204" s="24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7"/>
    </row>
    <row r="205" spans="1:18" s="8" customFormat="1">
      <c r="A205" s="49" t="s">
        <v>49</v>
      </c>
      <c r="B205" s="49"/>
      <c r="C205" s="49"/>
      <c r="D205" s="49"/>
      <c r="E205" s="49"/>
      <c r="F205" s="49"/>
      <c r="G205" s="49"/>
      <c r="H205" s="49"/>
      <c r="I205" s="49"/>
      <c r="J205" s="56"/>
      <c r="K205" s="56"/>
      <c r="L205" s="56"/>
      <c r="M205" s="56"/>
      <c r="N205" s="56"/>
      <c r="O205" s="56"/>
      <c r="P205" s="56"/>
      <c r="Q205" s="56"/>
      <c r="R205" s="57"/>
    </row>
    <row r="206" spans="1:18" s="8" customFormat="1">
      <c r="A206" s="49"/>
      <c r="B206" s="49"/>
      <c r="C206" s="49"/>
      <c r="D206" s="49"/>
      <c r="E206" s="49"/>
      <c r="F206" s="49"/>
      <c r="G206" s="49"/>
      <c r="H206" s="49"/>
      <c r="I206" s="49"/>
      <c r="J206" s="56"/>
      <c r="K206" s="56"/>
      <c r="L206" s="56"/>
      <c r="M206" s="56"/>
      <c r="N206" s="56"/>
      <c r="O206" s="56"/>
      <c r="P206" s="56"/>
      <c r="Q206" s="56"/>
      <c r="R206" s="57"/>
    </row>
    <row r="207" spans="1:18" s="8" customFormat="1">
      <c r="A207" s="76" t="s">
        <v>81</v>
      </c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68"/>
    </row>
    <row r="208" spans="1:18" s="8" customFormat="1" ht="18">
      <c r="A208" s="78" t="s">
        <v>27</v>
      </c>
      <c r="B208" s="79"/>
      <c r="C208" s="79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68"/>
    </row>
    <row r="209" spans="1:18" s="8" customFormat="1">
      <c r="A209" s="80" t="s">
        <v>82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68"/>
    </row>
    <row r="210" spans="1:18" s="8" customFormat="1">
      <c r="A210" s="73">
        <v>1</v>
      </c>
      <c r="B210" s="73" t="s">
        <v>42</v>
      </c>
      <c r="C210" s="12" t="s">
        <v>30</v>
      </c>
      <c r="D210" s="73" t="s">
        <v>31</v>
      </c>
      <c r="E210" s="73">
        <v>1</v>
      </c>
      <c r="F210" s="73" t="s">
        <v>41</v>
      </c>
      <c r="G210" s="73">
        <v>1</v>
      </c>
      <c r="H210" s="73" t="s">
        <v>33</v>
      </c>
      <c r="I210" s="73"/>
      <c r="J210" s="73">
        <v>111</v>
      </c>
      <c r="K210" s="73">
        <v>49</v>
      </c>
      <c r="L210" s="73">
        <v>28</v>
      </c>
      <c r="M210" s="73"/>
      <c r="N210" s="3">
        <f t="shared" ref="N210" si="88">(IF(F210="OŽ",IF(L210=1,550.8,IF(L210=2,426.38,IF(L210=3,342.14,IF(L210=4,181.44,IF(L210=5,168.48,IF(L210=6,155.52,IF(L210=7,148.5,IF(L210=8,144,0))))))))+IF(L210&lt;=8,0,IF(L210&lt;=16,137.7,IF(L210&lt;=24,108,IF(L210&lt;=32,80.1,IF(L210&lt;=36,52.2,0)))))-IF(L210&lt;=8,0,IF(L210&lt;=16,(L210-9)*2.754,IF(L210&lt;=24,(L210-17)* 2.754,IF(L210&lt;=32,(L210-25)* 2.754,IF(L210&lt;=36,(L210-33)*2.754,0))))),0)+IF(F210="PČ",IF(L210=1,449,IF(L210=2,314.6,IF(L210=3,238,IF(L210=4,172,IF(L210=5,159,IF(L210=6,145,IF(L210=7,132,IF(L210=8,119,0))))))))+IF(L210&lt;=8,0,IF(L210&lt;=16,88,IF(L210&lt;=24,55,IF(L210&lt;=32,22,0))))-IF(L210&lt;=8,0,IF(L210&lt;=16,(L210-9)*2.245,IF(L210&lt;=24,(L210-17)*2.245,IF(L210&lt;=32,(L210-25)*2.245,0)))),0)+IF(F210="PČneol",IF(L210=1,85,IF(L210=2,64.61,IF(L210=3,50.76,IF(L210=4,16.25,IF(L210=5,15,IF(L210=6,13.75,IF(L210=7,12.5,IF(L210=8,11.25,0))))))))+IF(L210&lt;=8,0,IF(L210&lt;=16,9,0))-IF(L210&lt;=8,0,IF(L210&lt;=16,(L210-9)*0.425,0)),0)+IF(F210="PŽ",IF(L210=1,85,IF(L210=2,59.5,IF(L210=3,45,IF(L210=4,32.5,IF(L210=5,30,IF(L210=6,27.5,IF(L210=7,25,IF(L210=8,22.5,0))))))))+IF(L210&lt;=8,0,IF(L210&lt;=16,19,IF(L210&lt;=24,13,IF(L210&lt;=32,8,0))))-IF(L210&lt;=8,0,IF(L210&lt;=16,(L210-9)*0.425,IF(L210&lt;=24,(L210-17)*0.425,IF(L210&lt;=32,(L210-25)*0.425,0)))),0)+IF(F210="EČ",IF(L210=1,204,IF(L210=2,156.24,IF(L210=3,123.84,IF(L210=4,72,IF(L210=5,66,IF(L210=6,60,IF(L210=7,54,IF(L210=8,48,0))))))))+IF(L210&lt;=8,0,IF(L210&lt;=16,40,IF(L210&lt;=24,25,0)))-IF(L210&lt;=8,0,IF(L210&lt;=16,(L210-9)*1.02,IF(L210&lt;=24,(L210-17)*1.02,0))),0)+IF(F210="EČneol",IF(L210=1,68,IF(L210=2,51.69,IF(L210=3,40.61,IF(L210=4,13,IF(L210=5,12,IF(L210=6,11,IF(L210=7,10,IF(L210=8,9,0)))))))))+IF(F210="EŽ",IF(L210=1,68,IF(L210=2,47.6,IF(L210=3,36,IF(L210=4,18,IF(L210=5,16.5,IF(L210=6,15,IF(L210=7,13.5,IF(L210=8,12,0))))))))+IF(L210&lt;=8,0,IF(L210&lt;=16,10,IF(L210&lt;=24,6,0)))-IF(L210&lt;=8,0,IF(L210&lt;=16,(L210-9)*0.34,IF(L210&lt;=24,(L210-17)*0.34,0))),0)+IF(F210="PT",IF(L210=1,68,IF(L210=2,52.08,IF(L210=3,41.28,IF(L210=4,24,IF(L210=5,22,IF(L210=6,20,IF(L210=7,18,IF(L210=8,16,0))))))))+IF(L210&lt;=8,0,IF(L210&lt;=16,13,IF(L210&lt;=24,9,IF(L210&lt;=32,4,0))))-IF(L210&lt;=8,0,IF(L210&lt;=16,(L210-9)*0.34,IF(L210&lt;=24,(L210-17)*0.34,IF(L210&lt;=32,(L210-25)*0.34,0)))),0)+IF(F210="JOŽ",IF(L210=1,85,IF(L210=2,59.5,IF(L210=3,45,IF(L210=4,32.5,IF(L210=5,30,IF(L210=6,27.5,IF(L210=7,25,IF(L210=8,22.5,0))))))))+IF(L210&lt;=8,0,IF(L210&lt;=16,19,IF(L210&lt;=24,13,0)))-IF(L210&lt;=8,0,IF(L210&lt;=16,(L210-9)*0.425,IF(L210&lt;=24,(L210-17)*0.425,0))),0)+IF(F210="JPČ",IF(L210=1,68,IF(L210=2,47.6,IF(L210=3,36,IF(L210=4,26,IF(L210=5,24,IF(L210=6,22,IF(L210=7,20,IF(L210=8,18,0))))))))+IF(L210&lt;=8,0,IF(L210&lt;=16,13,IF(L210&lt;=24,9,0)))-IF(L210&lt;=8,0,IF(L210&lt;=16,(L210-9)*0.34,IF(L210&lt;=24,(L210-17)*0.34,0))),0)+IF(F210="JEČ",IF(L210=1,34,IF(L210=2,26.04,IF(L210=3,20.6,IF(L210=4,12,IF(L210=5,11,IF(L210=6,10,IF(L210=7,9,IF(L210=8,8,0))))))))+IF(L210&lt;=8,0,IF(L210&lt;=16,6,0))-IF(L210&lt;=8,0,IF(L210&lt;=16,(L210-9)*0.17,0)),0)+IF(F210="JEOF",IF(L210=1,34,IF(L210=2,26.04,IF(L210=3,20.6,IF(L210=4,12,IF(L210=5,11,IF(L210=6,10,IF(L210=7,9,IF(L210=8,8,0))))))))+IF(L210&lt;=8,0,IF(L210&lt;=16,6,0))-IF(L210&lt;=8,0,IF(L210&lt;=16,(L210-9)*0.17,0)),0)+IF(F210="JnPČ",IF(L210=1,51,IF(L210=2,35.7,IF(L210=3,27,IF(L210=4,19.5,IF(L210=5,18,IF(L210=6,16.5,IF(L210=7,15,IF(L210=8,13.5,0))))))))+IF(L210&lt;=8,0,IF(L210&lt;=16,10,0))-IF(L210&lt;=8,0,IF(L210&lt;=16,(L210-9)*0.255,0)),0)+IF(F210="JnEČ",IF(L210=1,25.5,IF(L210=2,19.53,IF(L210=3,15.48,IF(L210=4,9,IF(L210=5,8.25,IF(L210=6,7.5,IF(L210=7,6.75,IF(L210=8,6,0))))))))+IF(L210&lt;=8,0,IF(L210&lt;=16,5,0))-IF(L210&lt;=8,0,IF(L210&lt;=16,(L210-9)*0.1275,0)),0)+IF(F210="JčPČ",IF(L210=1,21.25,IF(L210=2,14.5,IF(L210=3,11.5,IF(L210=4,7,IF(L210=5,6.5,IF(L210=6,6,IF(L210=7,5.5,IF(L210=8,5,0))))))))+IF(L210&lt;=8,0,IF(L210&lt;=16,4,0))-IF(L210&lt;=8,0,IF(L210&lt;=16,(L210-9)*0.10625,0)),0)+IF(F210="JčEČ",IF(L210=1,17,IF(L210=2,13.02,IF(L210=3,10.32,IF(L210=4,6,IF(L210=5,5.5,IF(L210=6,5,IF(L210=7,4.5,IF(L210=8,4,0))))))))+IF(L210&lt;=8,0,IF(L210&lt;=16,3,0))-IF(L210&lt;=8,0,IF(L210&lt;=16,(L210-9)*0.085,0)),0)+IF(F210="NEAK",IF(L210=1,11.48,IF(L210=2,8.79,IF(L210=3,6.97,IF(L210=4,4.05,IF(L210=5,3.71,IF(L210=6,3.38,IF(L210=7,3.04,IF(L210=8,2.7,0))))))))+IF(L210&lt;=8,0,IF(L210&lt;=16,2,IF(L210&lt;=24,1.3,0)))-IF(L210&lt;=8,0,IF(L210&lt;=16,(L210-9)*0.0574,IF(L210&lt;=24,(L210-17)*0.0574,0))),0))*IF(L210&lt;4,1,IF(OR(F210="PČ",F210="PŽ",F210="PT"),IF(J210&lt;32,J210/32,1),1))* IF(L210&lt;4,1,IF(OR(F210="EČ",F210="EŽ",F210="JOŽ",F210="JPČ",F210="NEAK"),IF(J210&lt;24,J210/24,1),1))*IF(L210&lt;4,1,IF(OR(F210="PČneol",F210="JEČ",F210="JEOF",F210="JnPČ",F210="JnEČ",F210="JčPČ",F210="JčEČ"),IF(J210&lt;16,J210/16,1),1))*IF(L210&lt;4,1,IF(F210="EČneol",IF(J210&lt;8,J210/8,1),1))</f>
        <v>15.265000000000001</v>
      </c>
      <c r="O210" s="9">
        <f t="shared" ref="O210" si="89">IF(F210="OŽ",N210,IF(H210="Ne",IF(J210*0.3&lt;=J210-L210,N210,0),IF(J210*0.1&lt;=J210-L210,N210,0)))</f>
        <v>15.265000000000001</v>
      </c>
      <c r="P210" s="4">
        <f t="shared" ref="P210:P219" si="90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5.3879999999999999</v>
      </c>
      <c r="Q210" s="11">
        <f t="shared" ref="Q210:Q219" si="91">IF(ISERROR(P210*100/N210),0,(P210*100/N210))</f>
        <v>35.296429741238121</v>
      </c>
      <c r="R210" s="10">
        <f t="shared" ref="R210" si="92">IF(Q210&lt;=30,O210+P210,O210+O210*0.3)*IF(G210=1,0.4,IF(G210=2,0.75,IF(G210="1 (kas 4 m. 1 k. nerengiamos)",0.52,1)))*IF(D210="olimpinė",1,IF(M210="Ne",0.5,1))*IF(D210="olimpinė",1,IF(J210&lt;8,0,1))*E210*IF(D210="olimpinė",1,IF(K210&lt;16,0,1))*IF(I210&lt;=1,1,1/I210)*IF(OR(A$5="Lietuvos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8.3346900000000002</v>
      </c>
    </row>
    <row r="211" spans="1:18" s="8" customFormat="1">
      <c r="A211" s="73">
        <v>2</v>
      </c>
      <c r="B211" s="73"/>
      <c r="C211" s="12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3">
        <f t="shared" ref="N211:N218" si="93">(IF(F211="OŽ",IF(L211=1,550.8,IF(L211=2,426.38,IF(L211=3,342.14,IF(L211=4,181.44,IF(L211=5,168.48,IF(L211=6,155.52,IF(L211=7,148.5,IF(L211=8,144,0))))))))+IF(L211&lt;=8,0,IF(L211&lt;=16,137.7,IF(L211&lt;=24,108,IF(L211&lt;=32,80.1,IF(L211&lt;=36,52.2,0)))))-IF(L211&lt;=8,0,IF(L211&lt;=16,(L211-9)*2.754,IF(L211&lt;=24,(L211-17)* 2.754,IF(L211&lt;=32,(L211-25)* 2.754,IF(L211&lt;=36,(L211-33)*2.754,0))))),0)+IF(F211="PČ",IF(L211=1,449,IF(L211=2,314.6,IF(L211=3,238,IF(L211=4,172,IF(L211=5,159,IF(L211=6,145,IF(L211=7,132,IF(L211=8,119,0))))))))+IF(L211&lt;=8,0,IF(L211&lt;=16,88,IF(L211&lt;=24,55,IF(L211&lt;=32,22,0))))-IF(L211&lt;=8,0,IF(L211&lt;=16,(L211-9)*2.245,IF(L211&lt;=24,(L211-17)*2.245,IF(L211&lt;=32,(L211-25)*2.245,0)))),0)+IF(F211="PČneol",IF(L211=1,85,IF(L211=2,64.61,IF(L211=3,50.76,IF(L211=4,16.25,IF(L211=5,15,IF(L211=6,13.75,IF(L211=7,12.5,IF(L211=8,11.25,0))))))))+IF(L211&lt;=8,0,IF(L211&lt;=16,9,0))-IF(L211&lt;=8,0,IF(L211&lt;=16,(L211-9)*0.425,0)),0)+IF(F211="PŽ",IF(L211=1,85,IF(L211=2,59.5,IF(L211=3,45,IF(L211=4,32.5,IF(L211=5,30,IF(L211=6,27.5,IF(L211=7,25,IF(L211=8,22.5,0))))))))+IF(L211&lt;=8,0,IF(L211&lt;=16,19,IF(L211&lt;=24,13,IF(L211&lt;=32,8,0))))-IF(L211&lt;=8,0,IF(L211&lt;=16,(L211-9)*0.425,IF(L211&lt;=24,(L211-17)*0.425,IF(L211&lt;=32,(L211-25)*0.425,0)))),0)+IF(F211="EČ",IF(L211=1,204,IF(L211=2,156.24,IF(L211=3,123.84,IF(L211=4,72,IF(L211=5,66,IF(L211=6,60,IF(L211=7,54,IF(L211=8,48,0))))))))+IF(L211&lt;=8,0,IF(L211&lt;=16,40,IF(L211&lt;=24,25,0)))-IF(L211&lt;=8,0,IF(L211&lt;=16,(L211-9)*1.02,IF(L211&lt;=24,(L211-17)*1.02,0))),0)+IF(F211="EČneol",IF(L211=1,68,IF(L211=2,51.69,IF(L211=3,40.61,IF(L211=4,13,IF(L211=5,12,IF(L211=6,11,IF(L211=7,10,IF(L211=8,9,0)))))))))+IF(F211="EŽ",IF(L211=1,68,IF(L211=2,47.6,IF(L211=3,36,IF(L211=4,18,IF(L211=5,16.5,IF(L211=6,15,IF(L211=7,13.5,IF(L211=8,12,0))))))))+IF(L211&lt;=8,0,IF(L211&lt;=16,10,IF(L211&lt;=24,6,0)))-IF(L211&lt;=8,0,IF(L211&lt;=16,(L211-9)*0.34,IF(L211&lt;=24,(L211-17)*0.34,0))),0)+IF(F211="PT",IF(L211=1,68,IF(L211=2,52.08,IF(L211=3,41.28,IF(L211=4,24,IF(L211=5,22,IF(L211=6,20,IF(L211=7,18,IF(L211=8,16,0))))))))+IF(L211&lt;=8,0,IF(L211&lt;=16,13,IF(L211&lt;=24,9,IF(L211&lt;=32,4,0))))-IF(L211&lt;=8,0,IF(L211&lt;=16,(L211-9)*0.34,IF(L211&lt;=24,(L211-17)*0.34,IF(L211&lt;=32,(L211-25)*0.34,0)))),0)+IF(F211="JOŽ",IF(L211=1,85,IF(L211=2,59.5,IF(L211=3,45,IF(L211=4,32.5,IF(L211=5,30,IF(L211=6,27.5,IF(L211=7,25,IF(L211=8,22.5,0))))))))+IF(L211&lt;=8,0,IF(L211&lt;=16,19,IF(L211&lt;=24,13,0)))-IF(L211&lt;=8,0,IF(L211&lt;=16,(L211-9)*0.425,IF(L211&lt;=24,(L211-17)*0.425,0))),0)+IF(F211="JPČ",IF(L211=1,68,IF(L211=2,47.6,IF(L211=3,36,IF(L211=4,26,IF(L211=5,24,IF(L211=6,22,IF(L211=7,20,IF(L211=8,18,0))))))))+IF(L211&lt;=8,0,IF(L211&lt;=16,13,IF(L211&lt;=24,9,0)))-IF(L211&lt;=8,0,IF(L211&lt;=16,(L211-9)*0.34,IF(L211&lt;=24,(L211-17)*0.34,0))),0)+IF(F211="JEČ",IF(L211=1,34,IF(L211=2,26.04,IF(L211=3,20.6,IF(L211=4,12,IF(L211=5,11,IF(L211=6,10,IF(L211=7,9,IF(L211=8,8,0))))))))+IF(L211&lt;=8,0,IF(L211&lt;=16,6,0))-IF(L211&lt;=8,0,IF(L211&lt;=16,(L211-9)*0.17,0)),0)+IF(F211="JEOF",IF(L211=1,34,IF(L211=2,26.04,IF(L211=3,20.6,IF(L211=4,12,IF(L211=5,11,IF(L211=6,10,IF(L211=7,9,IF(L211=8,8,0))))))))+IF(L211&lt;=8,0,IF(L211&lt;=16,6,0))-IF(L211&lt;=8,0,IF(L211&lt;=16,(L211-9)*0.17,0)),0)+IF(F211="JnPČ",IF(L211=1,51,IF(L211=2,35.7,IF(L211=3,27,IF(L211=4,19.5,IF(L211=5,18,IF(L211=6,16.5,IF(L211=7,15,IF(L211=8,13.5,0))))))))+IF(L211&lt;=8,0,IF(L211&lt;=16,10,0))-IF(L211&lt;=8,0,IF(L211&lt;=16,(L211-9)*0.255,0)),0)+IF(F211="JnEČ",IF(L211=1,25.5,IF(L211=2,19.53,IF(L211=3,15.48,IF(L211=4,9,IF(L211=5,8.25,IF(L211=6,7.5,IF(L211=7,6.75,IF(L211=8,6,0))))))))+IF(L211&lt;=8,0,IF(L211&lt;=16,5,0))-IF(L211&lt;=8,0,IF(L211&lt;=16,(L211-9)*0.1275,0)),0)+IF(F211="JčPČ",IF(L211=1,21.25,IF(L211=2,14.5,IF(L211=3,11.5,IF(L211=4,7,IF(L211=5,6.5,IF(L211=6,6,IF(L211=7,5.5,IF(L211=8,5,0))))))))+IF(L211&lt;=8,0,IF(L211&lt;=16,4,0))-IF(L211&lt;=8,0,IF(L211&lt;=16,(L211-9)*0.10625,0)),0)+IF(F211="JčEČ",IF(L211=1,17,IF(L211=2,13.02,IF(L211=3,10.32,IF(L211=4,6,IF(L211=5,5.5,IF(L211=6,5,IF(L211=7,4.5,IF(L211=8,4,0))))))))+IF(L211&lt;=8,0,IF(L211&lt;=16,3,0))-IF(L211&lt;=8,0,IF(L211&lt;=16,(L211-9)*0.085,0)),0)+IF(F211="NEAK",IF(L211=1,11.48,IF(L211=2,8.79,IF(L211=3,6.97,IF(L211=4,4.05,IF(L211=5,3.71,IF(L211=6,3.38,IF(L211=7,3.04,IF(L211=8,2.7,0))))))))+IF(L211&lt;=8,0,IF(L211&lt;=16,2,IF(L211&lt;=24,1.3,0)))-IF(L211&lt;=8,0,IF(L211&lt;=16,(L211-9)*0.0574,IF(L211&lt;=24,(L211-17)*0.0574,0))),0))*IF(L211&lt;0,1,IF(OR(F211="PČ",F211="PŽ",F211="PT"),IF(J211&lt;32,J211/32,1),1))* IF(L211&lt;0,1,IF(OR(F211="EČ",F211="EŽ",F211="JOŽ",F211="JPČ",F211="NEAK"),IF(J211&lt;24,J211/24,1),1))*IF(L211&lt;0,1,IF(OR(F211="PČneol",F211="JEČ",F211="JEOF",F211="JnPČ",F211="JnEČ",F211="JčPČ",F211="JčEČ"),IF(J211&lt;16,J211/16,1),1))*IF(L211&lt;0,1,IF(F211="EČneol",IF(J211&lt;8,J211/8,1),1))</f>
        <v>0</v>
      </c>
      <c r="O211" s="9">
        <f t="shared" ref="O211:O219" si="94">IF(F211="OŽ",N211,IF(H211="Ne",IF(J211*0.3&lt;J211-L211,N211,0),IF(J211*0.1&lt;J211-L211,N211,0)))</f>
        <v>0</v>
      </c>
      <c r="P211" s="4">
        <f t="shared" si="90"/>
        <v>0</v>
      </c>
      <c r="Q211" s="11">
        <f t="shared" si="91"/>
        <v>0</v>
      </c>
      <c r="R211" s="10">
        <f t="shared" ref="R211:R219" si="95">IF(Q211&lt;=30,O211+P211,O211+O211*0.3)*IF(G211=1,0.4,IF(G211=2,0.75,IF(G211="1 (kas 4 m. 1 k. nerengiamos)",0.52,1)))*IF(D211="olimpinė",1,IF(M211="Ne",0.5,1))*IF(OR(A$5="Lietuvos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federacija"),IF(OR(J211&lt;8,K211&lt;16),0,1),1)*E211*IF(I211&lt;=1,1,1/I211)*IF(OR(A$5="Lietuvos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2" spans="1:18" s="8" customFormat="1">
      <c r="A212" s="73">
        <v>3</v>
      </c>
      <c r="B212" s="73"/>
      <c r="C212" s="12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3">
        <f t="shared" si="93"/>
        <v>0</v>
      </c>
      <c r="O212" s="9">
        <f t="shared" si="94"/>
        <v>0</v>
      </c>
      <c r="P212" s="4">
        <f t="shared" si="90"/>
        <v>0</v>
      </c>
      <c r="Q212" s="11">
        <f t="shared" si="91"/>
        <v>0</v>
      </c>
      <c r="R212" s="10">
        <f t="shared" si="95"/>
        <v>0</v>
      </c>
    </row>
    <row r="213" spans="1:18" s="8" customFormat="1">
      <c r="A213" s="73">
        <v>4</v>
      </c>
      <c r="B213" s="73"/>
      <c r="C213" s="12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3">
        <f t="shared" si="93"/>
        <v>0</v>
      </c>
      <c r="O213" s="9">
        <f t="shared" si="94"/>
        <v>0</v>
      </c>
      <c r="P213" s="4">
        <f t="shared" si="90"/>
        <v>0</v>
      </c>
      <c r="Q213" s="11">
        <f t="shared" si="91"/>
        <v>0</v>
      </c>
      <c r="R213" s="10">
        <f t="shared" si="95"/>
        <v>0</v>
      </c>
    </row>
    <row r="214" spans="1:18" s="8" customFormat="1">
      <c r="A214" s="73">
        <v>5</v>
      </c>
      <c r="B214" s="73"/>
      <c r="C214" s="12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3">
        <f t="shared" si="93"/>
        <v>0</v>
      </c>
      <c r="O214" s="9">
        <f t="shared" si="94"/>
        <v>0</v>
      </c>
      <c r="P214" s="4">
        <f t="shared" si="90"/>
        <v>0</v>
      </c>
      <c r="Q214" s="11">
        <f t="shared" si="91"/>
        <v>0</v>
      </c>
      <c r="R214" s="10">
        <f t="shared" si="95"/>
        <v>0</v>
      </c>
    </row>
    <row r="215" spans="1:18" s="8" customFormat="1">
      <c r="A215" s="73">
        <v>6</v>
      </c>
      <c r="B215" s="73"/>
      <c r="C215" s="12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3">
        <f t="shared" si="93"/>
        <v>0</v>
      </c>
      <c r="O215" s="9">
        <f t="shared" si="94"/>
        <v>0</v>
      </c>
      <c r="P215" s="4">
        <f t="shared" si="90"/>
        <v>0</v>
      </c>
      <c r="Q215" s="11">
        <f t="shared" si="91"/>
        <v>0</v>
      </c>
      <c r="R215" s="10">
        <f t="shared" si="95"/>
        <v>0</v>
      </c>
    </row>
    <row r="216" spans="1:18" s="8" customFormat="1">
      <c r="A216" s="73">
        <v>7</v>
      </c>
      <c r="B216" s="73"/>
      <c r="C216" s="12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3">
        <f t="shared" si="93"/>
        <v>0</v>
      </c>
      <c r="O216" s="9">
        <f t="shared" si="94"/>
        <v>0</v>
      </c>
      <c r="P216" s="4">
        <f t="shared" si="90"/>
        <v>0</v>
      </c>
      <c r="Q216" s="11">
        <f t="shared" si="91"/>
        <v>0</v>
      </c>
      <c r="R216" s="10">
        <f t="shared" si="95"/>
        <v>0</v>
      </c>
    </row>
    <row r="217" spans="1:18" s="8" customFormat="1">
      <c r="A217" s="73">
        <v>8</v>
      </c>
      <c r="B217" s="73"/>
      <c r="C217" s="12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3">
        <f t="shared" si="93"/>
        <v>0</v>
      </c>
      <c r="O217" s="9">
        <f t="shared" si="94"/>
        <v>0</v>
      </c>
      <c r="P217" s="4">
        <f t="shared" si="90"/>
        <v>0</v>
      </c>
      <c r="Q217" s="11">
        <f t="shared" si="91"/>
        <v>0</v>
      </c>
      <c r="R217" s="10">
        <f t="shared" si="95"/>
        <v>0</v>
      </c>
    </row>
    <row r="218" spans="1:18" s="8" customFormat="1">
      <c r="A218" s="73">
        <v>9</v>
      </c>
      <c r="B218" s="73"/>
      <c r="C218" s="12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3">
        <f t="shared" si="93"/>
        <v>0</v>
      </c>
      <c r="O218" s="9">
        <f t="shared" si="94"/>
        <v>0</v>
      </c>
      <c r="P218" s="4">
        <f t="shared" si="90"/>
        <v>0</v>
      </c>
      <c r="Q218" s="11">
        <f t="shared" si="91"/>
        <v>0</v>
      </c>
      <c r="R218" s="10">
        <f t="shared" si="95"/>
        <v>0</v>
      </c>
    </row>
    <row r="219" spans="1:18" s="8" customFormat="1">
      <c r="A219" s="73">
        <v>10</v>
      </c>
      <c r="B219" s="73"/>
      <c r="C219" s="12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3">
        <f>(IF(F219="OŽ",IF(L219=1,550.8,IF(L219=2,426.38,IF(L219=3,342.14,IF(L219=4,181.44,IF(L219=5,168.48,IF(L219=6,155.52,IF(L219=7,148.5,IF(L219=8,144,0))))))))+IF(L219&lt;=8,0,IF(L219&lt;=16,137.7,IF(L219&lt;=24,108,IF(L219&lt;=32,80.1,IF(L219&lt;=36,52.2,0)))))-IF(L219&lt;=8,0,IF(L219&lt;=16,(L219-9)*2.754,IF(L219&lt;=24,(L219-17)* 2.754,IF(L219&lt;=32,(L219-25)* 2.754,IF(L219&lt;=36,(L219-33)*2.754,0))))),0)+IF(F219="PČ",IF(L219=1,449,IF(L219=2,314.6,IF(L219=3,238,IF(L219=4,172,IF(L219=5,159,IF(L219=6,145,IF(L219=7,132,IF(L219=8,119,0))))))))+IF(L219&lt;=8,0,IF(L219&lt;=16,88,IF(L219&lt;=24,55,IF(L219&lt;=32,22,0))))-IF(L219&lt;=8,0,IF(L219&lt;=16,(L219-9)*2.245,IF(L219&lt;=24,(L219-17)*2.245,IF(L219&lt;=32,(L219-25)*2.245,0)))),0)+IF(F219="PČneol",IF(L219=1,85,IF(L219=2,64.61,IF(L219=3,50.76,IF(L219=4,16.25,IF(L219=5,15,IF(L219=6,13.75,IF(L219=7,12.5,IF(L219=8,11.25,0))))))))+IF(L219&lt;=8,0,IF(L219&lt;=16,9,0))-IF(L219&lt;=8,0,IF(L219&lt;=16,(L219-9)*0.425,0)),0)+IF(F219="PŽ",IF(L219=1,85,IF(L219=2,59.5,IF(L219=3,45,IF(L219=4,32.5,IF(L219=5,30,IF(L219=6,27.5,IF(L219=7,25,IF(L219=8,22.5,0))))))))+IF(L219&lt;=8,0,IF(L219&lt;=16,19,IF(L219&lt;=24,13,IF(L219&lt;=32,8,0))))-IF(L219&lt;=8,0,IF(L219&lt;=16,(L219-9)*0.425,IF(L219&lt;=24,(L219-17)*0.425,IF(L219&lt;=32,(L219-25)*0.425,0)))),0)+IF(F219="EČ",IF(L219=1,204,IF(L219=2,156.24,IF(L219=3,123.84,IF(L219=4,72,IF(L219=5,66,IF(L219=6,60,IF(L219=7,54,IF(L219=8,48,0))))))))+IF(L219&lt;=8,0,IF(L219&lt;=16,40,IF(L219&lt;=24,25,0)))-IF(L219&lt;=8,0,IF(L219&lt;=16,(L219-9)*1.02,IF(L219&lt;=24,(L219-17)*1.02,0))),0)+IF(F219="EČneol",IF(L219=1,68,IF(L219=2,51.69,IF(L219=3,40.61,IF(L219=4,13,IF(L219=5,12,IF(L219=6,11,IF(L219=7,10,IF(L219=8,9,0)))))))))+IF(F219="EŽ",IF(L219=1,68,IF(L219=2,47.6,IF(L219=3,36,IF(L219=4,18,IF(L219=5,16.5,IF(L219=6,15,IF(L219=7,13.5,IF(L219=8,12,0))))))))+IF(L219&lt;=8,0,IF(L219&lt;=16,10,IF(L219&lt;=24,6,0)))-IF(L219&lt;=8,0,IF(L219&lt;=16,(L219-9)*0.34,IF(L219&lt;=24,(L219-17)*0.34,0))),0)+IF(F219="PT",IF(L219=1,68,IF(L219=2,52.08,IF(L219=3,41.28,IF(L219=4,24,IF(L219=5,22,IF(L219=6,20,IF(L219=7,18,IF(L219=8,16,0))))))))+IF(L219&lt;=8,0,IF(L219&lt;=16,13,IF(L219&lt;=24,9,IF(L219&lt;=32,4,0))))-IF(L219&lt;=8,0,IF(L219&lt;=16,(L219-9)*0.34,IF(L219&lt;=24,(L219-17)*0.34,IF(L219&lt;=32,(L219-25)*0.34,0)))),0)+IF(F219="JOŽ",IF(L219=1,85,IF(L219=2,59.5,IF(L219=3,45,IF(L219=4,32.5,IF(L219=5,30,IF(L219=6,27.5,IF(L219=7,25,IF(L219=8,22.5,0))))))))+IF(L219&lt;=8,0,IF(L219&lt;=16,19,IF(L219&lt;=24,13,0)))-IF(L219&lt;=8,0,IF(L219&lt;=16,(L219-9)*0.425,IF(L219&lt;=24,(L219-17)*0.425,0))),0)+IF(F219="JPČ",IF(L219=1,68,IF(L219=2,47.6,IF(L219=3,36,IF(L219=4,26,IF(L219=5,24,IF(L219=6,22,IF(L219=7,20,IF(L219=8,18,0))))))))+IF(L219&lt;=8,0,IF(L219&lt;=16,13,IF(L219&lt;=24,9,0)))-IF(L219&lt;=8,0,IF(L219&lt;=16,(L219-9)*0.34,IF(L219&lt;=24,(L219-17)*0.34,0))),0)+IF(F219="JEČ",IF(L219=1,34,IF(L219=2,26.04,IF(L219=3,20.6,IF(L219=4,12,IF(L219=5,11,IF(L219=6,10,IF(L219=7,9,IF(L219=8,8,0))))))))+IF(L219&lt;=8,0,IF(L219&lt;=16,6,0))-IF(L219&lt;=8,0,IF(L219&lt;=16,(L219-9)*0.17,0)),0)+IF(F219="JEOF",IF(L219=1,34,IF(L219=2,26.04,IF(L219=3,20.6,IF(L219=4,12,IF(L219=5,11,IF(L219=6,10,IF(L219=7,9,IF(L219=8,8,0))))))))+IF(L219&lt;=8,0,IF(L219&lt;=16,6,0))-IF(L219&lt;=8,0,IF(L219&lt;=16,(L219-9)*0.17,0)),0)+IF(F219="JnPČ",IF(L219=1,51,IF(L219=2,35.7,IF(L219=3,27,IF(L219=4,19.5,IF(L219=5,18,IF(L219=6,16.5,IF(L219=7,15,IF(L219=8,13.5,0))))))))+IF(L219&lt;=8,0,IF(L219&lt;=16,10,0))-IF(L219&lt;=8,0,IF(L219&lt;=16,(L219-9)*0.255,0)),0)+IF(F219="JnEČ",IF(L219=1,25.5,IF(L219=2,19.53,IF(L219=3,15.48,IF(L219=4,9,IF(L219=5,8.25,IF(L219=6,7.5,IF(L219=7,6.75,IF(L219=8,6,0))))))))+IF(L219&lt;=8,0,IF(L219&lt;=16,5,0))-IF(L219&lt;=8,0,IF(L219&lt;=16,(L219-9)*0.1275,0)),0)+IF(F219="JčPČ",IF(L219=1,21.25,IF(L219=2,14.5,IF(L219=3,11.5,IF(L219=4,7,IF(L219=5,6.5,IF(L219=6,6,IF(L219=7,5.5,IF(L219=8,5,0))))))))+IF(L219&lt;=8,0,IF(L219&lt;=16,4,0))-IF(L219&lt;=8,0,IF(L219&lt;=16,(L219-9)*0.10625,0)),0)+IF(F219="JčEČ",IF(L219=1,17,IF(L219=2,13.02,IF(L219=3,10.32,IF(L219=4,6,IF(L219=5,5.5,IF(L219=6,5,IF(L219=7,4.5,IF(L219=8,4,0))))))))+IF(L219&lt;=8,0,IF(L219&lt;=16,3,0))-IF(L219&lt;=8,0,IF(L219&lt;=16,(L219-9)*0.085,0)),0)+IF(F219="NEAK",IF(L219=1,11.48,IF(L219=2,8.79,IF(L219=3,6.97,IF(L219=4,4.05,IF(L219=5,3.71,IF(L219=6,3.38,IF(L219=7,3.04,IF(L219=8,2.7,0))))))))+IF(L219&lt;=8,0,IF(L219&lt;=16,2,IF(L219&lt;=24,1.3,0)))-IF(L219&lt;=8,0,IF(L219&lt;=16,(L219-9)*0.0574,IF(L219&lt;=24,(L219-17)*0.0574,0))),0))*IF(L219&lt;0,1,IF(OR(F219="PČ",F219="PŽ",F219="PT"),IF(J219&lt;32,J219/32,1),1))* IF(L219&lt;0,1,IF(OR(F219="EČ",F219="EŽ",F219="JOŽ",F219="JPČ",F219="NEAK"),IF(J219&lt;24,J219/24,1),1))*IF(L219&lt;0,1,IF(OR(F219="PČneol",F219="JEČ",F219="JEOF",F219="JnPČ",F219="JnEČ",F219="JčPČ",F219="JčEČ"),IF(J219&lt;16,J219/16,1),1))*IF(L219&lt;0,1,IF(F219="EČneol",IF(J219&lt;8,J219/8,1),1))</f>
        <v>0</v>
      </c>
      <c r="O219" s="9">
        <f t="shared" si="94"/>
        <v>0</v>
      </c>
      <c r="P219" s="4">
        <f t="shared" si="90"/>
        <v>0</v>
      </c>
      <c r="Q219" s="11">
        <f t="shared" si="91"/>
        <v>0</v>
      </c>
      <c r="R219" s="10">
        <f t="shared" si="95"/>
        <v>0</v>
      </c>
    </row>
    <row r="220" spans="1:18" s="8" customFormat="1" ht="13.9" customHeight="1">
      <c r="A220" s="82" t="s">
        <v>36</v>
      </c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4"/>
      <c r="R220" s="10">
        <f>SUM(R210:R219)</f>
        <v>8.3346900000000002</v>
      </c>
    </row>
    <row r="221" spans="1:18" s="8" customFormat="1" ht="15.75">
      <c r="A221" s="24" t="s">
        <v>37</v>
      </c>
      <c r="B221" s="24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7"/>
    </row>
    <row r="222" spans="1:18" s="8" customFormat="1">
      <c r="A222" s="49" t="s">
        <v>49</v>
      </c>
      <c r="B222" s="49"/>
      <c r="C222" s="49"/>
      <c r="D222" s="49"/>
      <c r="E222" s="49"/>
      <c r="F222" s="49"/>
      <c r="G222" s="49"/>
      <c r="H222" s="49"/>
      <c r="I222" s="49"/>
      <c r="J222" s="56"/>
      <c r="K222" s="56"/>
      <c r="L222" s="56"/>
      <c r="M222" s="56"/>
      <c r="N222" s="56"/>
      <c r="O222" s="56"/>
      <c r="P222" s="56"/>
      <c r="Q222" s="56"/>
      <c r="R222" s="57"/>
    </row>
    <row r="223" spans="1:18" s="8" customFormat="1">
      <c r="A223" s="49"/>
      <c r="B223" s="49"/>
      <c r="C223" s="49"/>
      <c r="D223" s="49"/>
      <c r="E223" s="49"/>
      <c r="F223" s="49"/>
      <c r="G223" s="49"/>
      <c r="H223" s="49"/>
      <c r="I223" s="49"/>
      <c r="J223" s="56"/>
      <c r="K223" s="56"/>
      <c r="L223" s="56"/>
      <c r="M223" s="56"/>
      <c r="N223" s="56"/>
      <c r="O223" s="56"/>
      <c r="P223" s="56"/>
      <c r="Q223" s="56"/>
      <c r="R223" s="57"/>
    </row>
    <row r="224" spans="1:18" s="8" customFormat="1">
      <c r="A224" s="76" t="s">
        <v>79</v>
      </c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68"/>
    </row>
    <row r="225" spans="1:18" s="8" customFormat="1" ht="15.6" customHeight="1">
      <c r="A225" s="78" t="s">
        <v>27</v>
      </c>
      <c r="B225" s="79"/>
      <c r="C225" s="79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68"/>
    </row>
    <row r="226" spans="1:18" s="8" customFormat="1" ht="17.45" customHeight="1">
      <c r="A226" s="80" t="s">
        <v>83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68"/>
    </row>
    <row r="227" spans="1:18" s="8" customFormat="1">
      <c r="A227" s="73">
        <v>1</v>
      </c>
      <c r="B227" s="59" t="s">
        <v>84</v>
      </c>
      <c r="C227" s="12" t="s">
        <v>85</v>
      </c>
      <c r="D227" s="73" t="s">
        <v>31</v>
      </c>
      <c r="E227" s="73">
        <v>1</v>
      </c>
      <c r="F227" s="73" t="s">
        <v>54</v>
      </c>
      <c r="G227" s="73">
        <v>1</v>
      </c>
      <c r="H227" s="73" t="s">
        <v>33</v>
      </c>
      <c r="I227" s="73"/>
      <c r="J227" s="73">
        <v>105</v>
      </c>
      <c r="K227" s="73">
        <v>27</v>
      </c>
      <c r="L227" s="73">
        <v>62</v>
      </c>
      <c r="M227" s="73"/>
      <c r="N227" s="3">
        <f t="shared" ref="N227:N229" si="96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4,1,IF(OR(F227="PČ",F227="PŽ",F227="PT"),IF(J227&lt;32,J227/32,1),1))* IF(L227&lt;4,1,IF(OR(F227="EČ",F227="EŽ",F227="JOŽ",F227="JPČ",F227="NEAK"),IF(J227&lt;24,J227/24,1),1))*IF(L227&lt;4,1,IF(OR(F227="PČneol",F227="JEČ",F227="JEOF",F227="JnPČ",F227="JnEČ",F227="JčPČ",F227="JčEČ"),IF(J227&lt;16,J227/16,1),1))*IF(L227&lt;4,1,IF(F227="EČneol",IF(J227&lt;8,J227/8,1),1))</f>
        <v>0</v>
      </c>
      <c r="O227" s="9">
        <f t="shared" ref="O227:O229" si="97">IF(F227="OŽ",N227,IF(H227="Ne",IF(J227*0.3&lt;=J227-L227,N227,0),IF(J227*0.1&lt;=J227-L227,N227,0)))</f>
        <v>0</v>
      </c>
      <c r="P227" s="4">
        <f t="shared" ref="P227:P236" si="98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6" si="99">IF(ISERROR(P227*100/N227),0,(P227*100/N227))</f>
        <v>0</v>
      </c>
      <c r="R227" s="10">
        <f t="shared" ref="R227:R229" si="100">IF(Q227&lt;=30,O227+P227,O227+O227*0.3)*IF(G227=1,0.4,IF(G227=2,0.75,IF(G227="1 (kas 4 m. 1 k. nerengiamos)",0.52,1)))*IF(D227="olimpinė",1,IF(M227="Ne",0.5,1))*IF(D227="olimpinė",1,IF(J227&lt;8,0,1))*E227*IF(D227="olimpinė",1,IF(K227&lt;16,0,1))*IF(I227&lt;=1,1,1/I227)*IF(OR(A$5="Lietuvos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8" spans="1:18" s="8" customFormat="1">
      <c r="A228" s="73">
        <v>2</v>
      </c>
      <c r="B228" s="59" t="s">
        <v>86</v>
      </c>
      <c r="C228" s="60" t="s">
        <v>85</v>
      </c>
      <c r="D228" s="73" t="s">
        <v>31</v>
      </c>
      <c r="E228" s="73">
        <v>1</v>
      </c>
      <c r="F228" s="73" t="s">
        <v>54</v>
      </c>
      <c r="G228" s="73">
        <v>1</v>
      </c>
      <c r="H228" s="73" t="s">
        <v>33</v>
      </c>
      <c r="I228" s="73"/>
      <c r="J228" s="61">
        <v>105</v>
      </c>
      <c r="K228" s="73">
        <v>27</v>
      </c>
      <c r="L228" s="73">
        <v>56</v>
      </c>
      <c r="M228" s="73"/>
      <c r="N228" s="3">
        <f t="shared" si="96"/>
        <v>0</v>
      </c>
      <c r="O228" s="9">
        <f t="shared" si="97"/>
        <v>0</v>
      </c>
      <c r="P228" s="4">
        <f t="shared" si="98"/>
        <v>0</v>
      </c>
      <c r="Q228" s="11">
        <f t="shared" si="99"/>
        <v>0</v>
      </c>
      <c r="R228" s="10">
        <f t="shared" si="100"/>
        <v>0</v>
      </c>
    </row>
    <row r="229" spans="1:18" s="8" customFormat="1">
      <c r="A229" s="73">
        <v>3</v>
      </c>
      <c r="B229" s="59" t="s">
        <v>87</v>
      </c>
      <c r="C229" s="60" t="s">
        <v>85</v>
      </c>
      <c r="D229" s="73" t="s">
        <v>31</v>
      </c>
      <c r="E229" s="73">
        <v>1</v>
      </c>
      <c r="F229" s="73" t="s">
        <v>54</v>
      </c>
      <c r="G229" s="73">
        <v>1</v>
      </c>
      <c r="H229" s="73" t="s">
        <v>33</v>
      </c>
      <c r="I229" s="73"/>
      <c r="J229" s="61">
        <v>105</v>
      </c>
      <c r="K229" s="73">
        <v>27</v>
      </c>
      <c r="L229" s="73">
        <v>97</v>
      </c>
      <c r="M229" s="73"/>
      <c r="N229" s="3">
        <f t="shared" si="96"/>
        <v>0</v>
      </c>
      <c r="O229" s="9">
        <f t="shared" si="97"/>
        <v>0</v>
      </c>
      <c r="P229" s="4">
        <f t="shared" si="98"/>
        <v>0</v>
      </c>
      <c r="Q229" s="11">
        <f t="shared" si="99"/>
        <v>0</v>
      </c>
      <c r="R229" s="10">
        <f t="shared" si="100"/>
        <v>0</v>
      </c>
    </row>
    <row r="230" spans="1:18" s="8" customFormat="1">
      <c r="A230" s="73">
        <v>4</v>
      </c>
      <c r="B230" s="73"/>
      <c r="C230" s="12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3">
        <f t="shared" ref="N230:N236" si="101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0</v>
      </c>
      <c r="O230" s="9">
        <f t="shared" ref="O230:O236" si="102">IF(F230="OŽ",N230,IF(H230="Ne",IF(J230*0.3&lt;J230-L230,N230,0),IF(J230*0.1&lt;J230-L230,N230,0)))</f>
        <v>0</v>
      </c>
      <c r="P230" s="4">
        <f t="shared" si="98"/>
        <v>0</v>
      </c>
      <c r="Q230" s="11">
        <f t="shared" si="99"/>
        <v>0</v>
      </c>
      <c r="R230" s="10">
        <f t="shared" ref="R230:R236" si="103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31" spans="1:18" s="8" customFormat="1">
      <c r="A231" s="73">
        <v>5</v>
      </c>
      <c r="B231" s="73"/>
      <c r="C231" s="12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3">
        <f t="shared" si="101"/>
        <v>0</v>
      </c>
      <c r="O231" s="9">
        <f t="shared" si="102"/>
        <v>0</v>
      </c>
      <c r="P231" s="4">
        <f t="shared" si="98"/>
        <v>0</v>
      </c>
      <c r="Q231" s="11">
        <f t="shared" si="99"/>
        <v>0</v>
      </c>
      <c r="R231" s="10">
        <f t="shared" si="103"/>
        <v>0</v>
      </c>
    </row>
    <row r="232" spans="1:18" s="8" customFormat="1">
      <c r="A232" s="73">
        <v>6</v>
      </c>
      <c r="B232" s="73"/>
      <c r="C232" s="12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3">
        <f t="shared" si="101"/>
        <v>0</v>
      </c>
      <c r="O232" s="9">
        <f t="shared" si="102"/>
        <v>0</v>
      </c>
      <c r="P232" s="4">
        <f t="shared" si="98"/>
        <v>0</v>
      </c>
      <c r="Q232" s="11">
        <f t="shared" si="99"/>
        <v>0</v>
      </c>
      <c r="R232" s="10">
        <f t="shared" si="103"/>
        <v>0</v>
      </c>
    </row>
    <row r="233" spans="1:18" s="8" customFormat="1">
      <c r="A233" s="73">
        <v>7</v>
      </c>
      <c r="B233" s="73"/>
      <c r="C233" s="12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3">
        <f t="shared" si="101"/>
        <v>0</v>
      </c>
      <c r="O233" s="9">
        <f t="shared" si="102"/>
        <v>0</v>
      </c>
      <c r="P233" s="4">
        <f t="shared" si="98"/>
        <v>0</v>
      </c>
      <c r="Q233" s="11">
        <f t="shared" si="99"/>
        <v>0</v>
      </c>
      <c r="R233" s="10">
        <f t="shared" si="103"/>
        <v>0</v>
      </c>
    </row>
    <row r="234" spans="1:18" s="8" customFormat="1">
      <c r="A234" s="73">
        <v>8</v>
      </c>
      <c r="B234" s="73"/>
      <c r="C234" s="12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3">
        <f t="shared" si="101"/>
        <v>0</v>
      </c>
      <c r="O234" s="9">
        <f t="shared" si="102"/>
        <v>0</v>
      </c>
      <c r="P234" s="4">
        <f t="shared" si="98"/>
        <v>0</v>
      </c>
      <c r="Q234" s="11">
        <f t="shared" si="99"/>
        <v>0</v>
      </c>
      <c r="R234" s="10">
        <f t="shared" si="103"/>
        <v>0</v>
      </c>
    </row>
    <row r="235" spans="1:18" s="8" customFormat="1">
      <c r="A235" s="73">
        <v>9</v>
      </c>
      <c r="B235" s="73"/>
      <c r="C235" s="12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3">
        <f t="shared" si="101"/>
        <v>0</v>
      </c>
      <c r="O235" s="9">
        <f t="shared" si="102"/>
        <v>0</v>
      </c>
      <c r="P235" s="4">
        <f t="shared" si="98"/>
        <v>0</v>
      </c>
      <c r="Q235" s="11">
        <f t="shared" si="99"/>
        <v>0</v>
      </c>
      <c r="R235" s="10">
        <f t="shared" si="103"/>
        <v>0</v>
      </c>
    </row>
    <row r="236" spans="1:18" s="8" customFormat="1">
      <c r="A236" s="73">
        <v>10</v>
      </c>
      <c r="B236" s="73"/>
      <c r="C236" s="12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3">
        <f t="shared" si="101"/>
        <v>0</v>
      </c>
      <c r="O236" s="9">
        <f t="shared" si="102"/>
        <v>0</v>
      </c>
      <c r="P236" s="4">
        <f t="shared" si="98"/>
        <v>0</v>
      </c>
      <c r="Q236" s="11">
        <f t="shared" si="99"/>
        <v>0</v>
      </c>
      <c r="R236" s="10">
        <f t="shared" si="103"/>
        <v>0</v>
      </c>
    </row>
    <row r="237" spans="1:18" s="8" customFormat="1">
      <c r="A237" s="82" t="s">
        <v>36</v>
      </c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4"/>
      <c r="R237" s="10">
        <f>SUM(R227:R236)</f>
        <v>0</v>
      </c>
    </row>
    <row r="238" spans="1:18" s="8" customFormat="1" ht="15.75">
      <c r="A238" s="24" t="s">
        <v>37</v>
      </c>
      <c r="B238" s="24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7"/>
    </row>
    <row r="239" spans="1:18" s="8" customFormat="1">
      <c r="A239" s="49" t="s">
        <v>49</v>
      </c>
      <c r="B239" s="49"/>
      <c r="C239" s="49"/>
      <c r="D239" s="49"/>
      <c r="E239" s="49"/>
      <c r="F239" s="49"/>
      <c r="G239" s="49"/>
      <c r="H239" s="49"/>
      <c r="I239" s="49"/>
      <c r="J239" s="56"/>
      <c r="K239" s="56"/>
      <c r="L239" s="56"/>
      <c r="M239" s="56"/>
      <c r="N239" s="56"/>
      <c r="O239" s="56"/>
      <c r="P239" s="56"/>
      <c r="Q239" s="56"/>
      <c r="R239" s="57"/>
    </row>
    <row r="240" spans="1:18" s="8" customFormat="1">
      <c r="A240" s="49"/>
      <c r="B240" s="49"/>
      <c r="C240" s="49"/>
      <c r="D240" s="49"/>
      <c r="E240" s="49"/>
      <c r="F240" s="49"/>
      <c r="G240" s="49"/>
      <c r="H240" s="49"/>
      <c r="I240" s="49"/>
      <c r="J240" s="56"/>
      <c r="K240" s="56"/>
      <c r="L240" s="56"/>
      <c r="M240" s="56"/>
      <c r="N240" s="56"/>
      <c r="O240" s="56"/>
      <c r="P240" s="56"/>
      <c r="Q240" s="56"/>
      <c r="R240" s="57"/>
    </row>
    <row r="241" spans="1:18" s="8" customFormat="1">
      <c r="A241" s="76" t="s">
        <v>81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68"/>
    </row>
    <row r="242" spans="1:18" s="8" customFormat="1" ht="18">
      <c r="A242" s="78" t="s">
        <v>27</v>
      </c>
      <c r="B242" s="79"/>
      <c r="C242" s="79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68"/>
    </row>
    <row r="243" spans="1:18" s="8" customFormat="1">
      <c r="A243" s="80" t="s">
        <v>88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68"/>
    </row>
    <row r="244" spans="1:18" s="8" customFormat="1">
      <c r="A244" s="73">
        <v>1</v>
      </c>
      <c r="B244" s="59" t="s">
        <v>84</v>
      </c>
      <c r="C244" s="12" t="s">
        <v>85</v>
      </c>
      <c r="D244" s="73" t="s">
        <v>31</v>
      </c>
      <c r="E244" s="73">
        <v>1</v>
      </c>
      <c r="F244" s="73" t="s">
        <v>41</v>
      </c>
      <c r="G244" s="73">
        <v>1</v>
      </c>
      <c r="H244" s="73" t="s">
        <v>33</v>
      </c>
      <c r="I244" s="73"/>
      <c r="J244" s="73">
        <v>159</v>
      </c>
      <c r="K244" s="73">
        <v>57</v>
      </c>
      <c r="L244" s="73">
        <v>99</v>
      </c>
      <c r="M244" s="73"/>
      <c r="N244" s="3">
        <f t="shared" ref="N244:N245" si="104">(IF(F244="OŽ",IF(L244=1,550.8,IF(L244=2,426.38,IF(L244=3,342.14,IF(L244=4,181.44,IF(L244=5,168.48,IF(L244=6,155.52,IF(L244=7,148.5,IF(L244=8,144,0))))))))+IF(L244&lt;=8,0,IF(L244&lt;=16,137.7,IF(L244&lt;=24,108,IF(L244&lt;=32,80.1,IF(L244&lt;=36,52.2,0)))))-IF(L244&lt;=8,0,IF(L244&lt;=16,(L244-9)*2.754,IF(L244&lt;=24,(L244-17)* 2.754,IF(L244&lt;=32,(L244-25)* 2.754,IF(L244&lt;=36,(L244-33)*2.754,0))))),0)+IF(F244="PČ",IF(L244=1,449,IF(L244=2,314.6,IF(L244=3,238,IF(L244=4,172,IF(L244=5,159,IF(L244=6,145,IF(L244=7,132,IF(L244=8,119,0))))))))+IF(L244&lt;=8,0,IF(L244&lt;=16,88,IF(L244&lt;=24,55,IF(L244&lt;=32,22,0))))-IF(L244&lt;=8,0,IF(L244&lt;=16,(L244-9)*2.245,IF(L244&lt;=24,(L244-17)*2.245,IF(L244&lt;=32,(L244-25)*2.245,0)))),0)+IF(F244="PČneol",IF(L244=1,85,IF(L244=2,64.61,IF(L244=3,50.76,IF(L244=4,16.25,IF(L244=5,15,IF(L244=6,13.75,IF(L244=7,12.5,IF(L244=8,11.25,0))))))))+IF(L244&lt;=8,0,IF(L244&lt;=16,9,0))-IF(L244&lt;=8,0,IF(L244&lt;=16,(L244-9)*0.425,0)),0)+IF(F244="PŽ",IF(L244=1,85,IF(L244=2,59.5,IF(L244=3,45,IF(L244=4,32.5,IF(L244=5,30,IF(L244=6,27.5,IF(L244=7,25,IF(L244=8,22.5,0))))))))+IF(L244&lt;=8,0,IF(L244&lt;=16,19,IF(L244&lt;=24,13,IF(L244&lt;=32,8,0))))-IF(L244&lt;=8,0,IF(L244&lt;=16,(L244-9)*0.425,IF(L244&lt;=24,(L244-17)*0.425,IF(L244&lt;=32,(L244-25)*0.425,0)))),0)+IF(F244="EČ",IF(L244=1,204,IF(L244=2,156.24,IF(L244=3,123.84,IF(L244=4,72,IF(L244=5,66,IF(L244=6,60,IF(L244=7,54,IF(L244=8,48,0))))))))+IF(L244&lt;=8,0,IF(L244&lt;=16,40,IF(L244&lt;=24,25,0)))-IF(L244&lt;=8,0,IF(L244&lt;=16,(L244-9)*1.02,IF(L244&lt;=24,(L244-17)*1.02,0))),0)+IF(F244="EČneol",IF(L244=1,68,IF(L244=2,51.69,IF(L244=3,40.61,IF(L244=4,13,IF(L244=5,12,IF(L244=6,11,IF(L244=7,10,IF(L244=8,9,0)))))))))+IF(F244="EŽ",IF(L244=1,68,IF(L244=2,47.6,IF(L244=3,36,IF(L244=4,18,IF(L244=5,16.5,IF(L244=6,15,IF(L244=7,13.5,IF(L244=8,12,0))))))))+IF(L244&lt;=8,0,IF(L244&lt;=16,10,IF(L244&lt;=24,6,0)))-IF(L244&lt;=8,0,IF(L244&lt;=16,(L244-9)*0.34,IF(L244&lt;=24,(L244-17)*0.34,0))),0)+IF(F244="PT",IF(L244=1,68,IF(L244=2,52.08,IF(L244=3,41.28,IF(L244=4,24,IF(L244=5,22,IF(L244=6,20,IF(L244=7,18,IF(L244=8,16,0))))))))+IF(L244&lt;=8,0,IF(L244&lt;=16,13,IF(L244&lt;=24,9,IF(L244&lt;=32,4,0))))-IF(L244&lt;=8,0,IF(L244&lt;=16,(L244-9)*0.34,IF(L244&lt;=24,(L244-17)*0.34,IF(L244&lt;=32,(L244-25)*0.34,0)))),0)+IF(F244="JOŽ",IF(L244=1,85,IF(L244=2,59.5,IF(L244=3,45,IF(L244=4,32.5,IF(L244=5,30,IF(L244=6,27.5,IF(L244=7,25,IF(L244=8,22.5,0))))))))+IF(L244&lt;=8,0,IF(L244&lt;=16,19,IF(L244&lt;=24,13,0)))-IF(L244&lt;=8,0,IF(L244&lt;=16,(L244-9)*0.425,IF(L244&lt;=24,(L244-17)*0.425,0))),0)+IF(F244="JPČ",IF(L244=1,68,IF(L244=2,47.6,IF(L244=3,36,IF(L244=4,26,IF(L244=5,24,IF(L244=6,22,IF(L244=7,20,IF(L244=8,18,0))))))))+IF(L244&lt;=8,0,IF(L244&lt;=16,13,IF(L244&lt;=24,9,0)))-IF(L244&lt;=8,0,IF(L244&lt;=16,(L244-9)*0.34,IF(L244&lt;=24,(L244-17)*0.34,0))),0)+IF(F244="JEČ",IF(L244=1,34,IF(L244=2,26.04,IF(L244=3,20.6,IF(L244=4,12,IF(L244=5,11,IF(L244=6,10,IF(L244=7,9,IF(L244=8,8,0))))))))+IF(L244&lt;=8,0,IF(L244&lt;=16,6,0))-IF(L244&lt;=8,0,IF(L244&lt;=16,(L244-9)*0.17,0)),0)+IF(F244="JEOF",IF(L244=1,34,IF(L244=2,26.04,IF(L244=3,20.6,IF(L244=4,12,IF(L244=5,11,IF(L244=6,10,IF(L244=7,9,IF(L244=8,8,0))))))))+IF(L244&lt;=8,0,IF(L244&lt;=16,6,0))-IF(L244&lt;=8,0,IF(L244&lt;=16,(L244-9)*0.17,0)),0)+IF(F244="JnPČ",IF(L244=1,51,IF(L244=2,35.7,IF(L244=3,27,IF(L244=4,19.5,IF(L244=5,18,IF(L244=6,16.5,IF(L244=7,15,IF(L244=8,13.5,0))))))))+IF(L244&lt;=8,0,IF(L244&lt;=16,10,0))-IF(L244&lt;=8,0,IF(L244&lt;=16,(L244-9)*0.255,0)),0)+IF(F244="JnEČ",IF(L244=1,25.5,IF(L244=2,19.53,IF(L244=3,15.48,IF(L244=4,9,IF(L244=5,8.25,IF(L244=6,7.5,IF(L244=7,6.75,IF(L244=8,6,0))))))))+IF(L244&lt;=8,0,IF(L244&lt;=16,5,0))-IF(L244&lt;=8,0,IF(L244&lt;=16,(L244-9)*0.1275,0)),0)+IF(F244="JčPČ",IF(L244=1,21.25,IF(L244=2,14.5,IF(L244=3,11.5,IF(L244=4,7,IF(L244=5,6.5,IF(L244=6,6,IF(L244=7,5.5,IF(L244=8,5,0))))))))+IF(L244&lt;=8,0,IF(L244&lt;=16,4,0))-IF(L244&lt;=8,0,IF(L244&lt;=16,(L244-9)*0.10625,0)),0)+IF(F244="JčEČ",IF(L244=1,17,IF(L244=2,13.02,IF(L244=3,10.32,IF(L244=4,6,IF(L244=5,5.5,IF(L244=6,5,IF(L244=7,4.5,IF(L244=8,4,0))))))))+IF(L244&lt;=8,0,IF(L244&lt;=16,3,0))-IF(L244&lt;=8,0,IF(L244&lt;=16,(L244-9)*0.085,0)),0)+IF(F244="NEAK",IF(L244=1,11.48,IF(L244=2,8.79,IF(L244=3,6.97,IF(L244=4,4.05,IF(L244=5,3.71,IF(L244=6,3.38,IF(L244=7,3.04,IF(L244=8,2.7,0))))))))+IF(L244&lt;=8,0,IF(L244&lt;=16,2,IF(L244&lt;=24,1.3,0)))-IF(L244&lt;=8,0,IF(L244&lt;=16,(L244-9)*0.0574,IF(L244&lt;=24,(L244-17)*0.0574,0))),0))*IF(L244&lt;4,1,IF(OR(F244="PČ",F244="PŽ",F244="PT"),IF(J244&lt;32,J244/32,1),1))* IF(L244&lt;4,1,IF(OR(F244="EČ",F244="EŽ",F244="JOŽ",F244="JPČ",F244="NEAK"),IF(J244&lt;24,J244/24,1),1))*IF(L244&lt;4,1,IF(OR(F244="PČneol",F244="JEČ",F244="JEOF",F244="JnPČ",F244="JnEČ",F244="JčPČ",F244="JčEČ"),IF(J244&lt;16,J244/16,1),1))*IF(L244&lt;4,1,IF(F244="EČneol",IF(J244&lt;8,J244/8,1),1))</f>
        <v>0</v>
      </c>
      <c r="O244" s="9">
        <f t="shared" ref="O244:O245" si="105">IF(F244="OŽ",N244,IF(H244="Ne",IF(J244*0.3&lt;=J244-L244,N244,0),IF(J244*0.1&lt;=J244-L244,N244,0)))</f>
        <v>0</v>
      </c>
      <c r="P244" s="4">
        <f t="shared" ref="P244:P253" si="106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3" si="107">IF(ISERROR(P244*100/N244),0,(P244*100/N244))</f>
        <v>0</v>
      </c>
      <c r="R244" s="10">
        <f t="shared" ref="R244:R245" si="108">IF(Q244&lt;=30,O244+P244,O244+O244*0.3)*IF(G244=1,0.4,IF(G244=2,0.75,IF(G244="1 (kas 4 m. 1 k. nerengiamos)",0.52,1)))*IF(D244="olimpinė",1,IF(M244="Ne",0.5,1))*IF(D244="olimpinė",1,IF(J244&lt;8,0,1))*E244*IF(D244="olimpinė",1,IF(K244&lt;16,0,1))*IF(I244&lt;=1,1,1/I244)*IF(OR(A$5="Lietuvos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5" spans="1:18" s="8" customFormat="1">
      <c r="A245" s="73">
        <v>2</v>
      </c>
      <c r="B245" s="59" t="s">
        <v>86</v>
      </c>
      <c r="C245" s="60" t="s">
        <v>85</v>
      </c>
      <c r="D245" s="73" t="s">
        <v>31</v>
      </c>
      <c r="E245" s="73">
        <v>1</v>
      </c>
      <c r="F245" s="73" t="s">
        <v>41</v>
      </c>
      <c r="G245" s="73">
        <v>1</v>
      </c>
      <c r="H245" s="73" t="s">
        <v>33</v>
      </c>
      <c r="I245" s="73"/>
      <c r="J245" s="73">
        <v>159</v>
      </c>
      <c r="K245" s="73">
        <v>57</v>
      </c>
      <c r="L245" s="73">
        <v>82</v>
      </c>
      <c r="M245" s="73"/>
      <c r="N245" s="3">
        <f t="shared" si="104"/>
        <v>0</v>
      </c>
      <c r="O245" s="9">
        <f t="shared" si="105"/>
        <v>0</v>
      </c>
      <c r="P245" s="4">
        <f t="shared" si="106"/>
        <v>0</v>
      </c>
      <c r="Q245" s="11">
        <f t="shared" si="107"/>
        <v>0</v>
      </c>
      <c r="R245" s="10">
        <f t="shared" si="108"/>
        <v>0</v>
      </c>
    </row>
    <row r="246" spans="1:18" s="8" customFormat="1">
      <c r="A246" s="73">
        <v>3</v>
      </c>
      <c r="B246" s="73"/>
      <c r="C246" s="12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3">
        <f t="shared" ref="N246:N253" si="109">(IF(F246="OŽ",IF(L246=1,550.8,IF(L246=2,426.38,IF(L246=3,342.14,IF(L246=4,181.44,IF(L246=5,168.48,IF(L246=6,155.52,IF(L246=7,148.5,IF(L246=8,144,0))))))))+IF(L246&lt;=8,0,IF(L246&lt;=16,137.7,IF(L246&lt;=24,108,IF(L246&lt;=32,80.1,IF(L246&lt;=36,52.2,0)))))-IF(L246&lt;=8,0,IF(L246&lt;=16,(L246-9)*2.754,IF(L246&lt;=24,(L246-17)* 2.754,IF(L246&lt;=32,(L246-25)* 2.754,IF(L246&lt;=36,(L246-33)*2.754,0))))),0)+IF(F246="PČ",IF(L246=1,449,IF(L246=2,314.6,IF(L246=3,238,IF(L246=4,172,IF(L246=5,159,IF(L246=6,145,IF(L246=7,132,IF(L246=8,119,0))))))))+IF(L246&lt;=8,0,IF(L246&lt;=16,88,IF(L246&lt;=24,55,IF(L246&lt;=32,22,0))))-IF(L246&lt;=8,0,IF(L246&lt;=16,(L246-9)*2.245,IF(L246&lt;=24,(L246-17)*2.245,IF(L246&lt;=32,(L246-25)*2.245,0)))),0)+IF(F246="PČneol",IF(L246=1,85,IF(L246=2,64.61,IF(L246=3,50.76,IF(L246=4,16.25,IF(L246=5,15,IF(L246=6,13.75,IF(L246=7,12.5,IF(L246=8,11.25,0))))))))+IF(L246&lt;=8,0,IF(L246&lt;=16,9,0))-IF(L246&lt;=8,0,IF(L246&lt;=16,(L246-9)*0.425,0)),0)+IF(F246="PŽ",IF(L246=1,85,IF(L246=2,59.5,IF(L246=3,45,IF(L246=4,32.5,IF(L246=5,30,IF(L246=6,27.5,IF(L246=7,25,IF(L246=8,22.5,0))))))))+IF(L246&lt;=8,0,IF(L246&lt;=16,19,IF(L246&lt;=24,13,IF(L246&lt;=32,8,0))))-IF(L246&lt;=8,0,IF(L246&lt;=16,(L246-9)*0.425,IF(L246&lt;=24,(L246-17)*0.425,IF(L246&lt;=32,(L246-25)*0.425,0)))),0)+IF(F246="EČ",IF(L246=1,204,IF(L246=2,156.24,IF(L246=3,123.84,IF(L246=4,72,IF(L246=5,66,IF(L246=6,60,IF(L246=7,54,IF(L246=8,48,0))))))))+IF(L246&lt;=8,0,IF(L246&lt;=16,40,IF(L246&lt;=24,25,0)))-IF(L246&lt;=8,0,IF(L246&lt;=16,(L246-9)*1.02,IF(L246&lt;=24,(L246-17)*1.02,0))),0)+IF(F246="EČneol",IF(L246=1,68,IF(L246=2,51.69,IF(L246=3,40.61,IF(L246=4,13,IF(L246=5,12,IF(L246=6,11,IF(L246=7,10,IF(L246=8,9,0)))))))))+IF(F246="EŽ",IF(L246=1,68,IF(L246=2,47.6,IF(L246=3,36,IF(L246=4,18,IF(L246=5,16.5,IF(L246=6,15,IF(L246=7,13.5,IF(L246=8,12,0))))))))+IF(L246&lt;=8,0,IF(L246&lt;=16,10,IF(L246&lt;=24,6,0)))-IF(L246&lt;=8,0,IF(L246&lt;=16,(L246-9)*0.34,IF(L246&lt;=24,(L246-17)*0.34,0))),0)+IF(F246="PT",IF(L246=1,68,IF(L246=2,52.08,IF(L246=3,41.28,IF(L246=4,24,IF(L246=5,22,IF(L246=6,20,IF(L246=7,18,IF(L246=8,16,0))))))))+IF(L246&lt;=8,0,IF(L246&lt;=16,13,IF(L246&lt;=24,9,IF(L246&lt;=32,4,0))))-IF(L246&lt;=8,0,IF(L246&lt;=16,(L246-9)*0.34,IF(L246&lt;=24,(L246-17)*0.34,IF(L246&lt;=32,(L246-25)*0.34,0)))),0)+IF(F246="JOŽ",IF(L246=1,85,IF(L246=2,59.5,IF(L246=3,45,IF(L246=4,32.5,IF(L246=5,30,IF(L246=6,27.5,IF(L246=7,25,IF(L246=8,22.5,0))))))))+IF(L246&lt;=8,0,IF(L246&lt;=16,19,IF(L246&lt;=24,13,0)))-IF(L246&lt;=8,0,IF(L246&lt;=16,(L246-9)*0.425,IF(L246&lt;=24,(L246-17)*0.425,0))),0)+IF(F246="JPČ",IF(L246=1,68,IF(L246=2,47.6,IF(L246=3,36,IF(L246=4,26,IF(L246=5,24,IF(L246=6,22,IF(L246=7,20,IF(L246=8,18,0))))))))+IF(L246&lt;=8,0,IF(L246&lt;=16,13,IF(L246&lt;=24,9,0)))-IF(L246&lt;=8,0,IF(L246&lt;=16,(L246-9)*0.34,IF(L246&lt;=24,(L246-17)*0.34,0))),0)+IF(F246="JEČ",IF(L246=1,34,IF(L246=2,26.04,IF(L246=3,20.6,IF(L246=4,12,IF(L246=5,11,IF(L246=6,10,IF(L246=7,9,IF(L246=8,8,0))))))))+IF(L246&lt;=8,0,IF(L246&lt;=16,6,0))-IF(L246&lt;=8,0,IF(L246&lt;=16,(L246-9)*0.17,0)),0)+IF(F246="JEOF",IF(L246=1,34,IF(L246=2,26.04,IF(L246=3,20.6,IF(L246=4,12,IF(L246=5,11,IF(L246=6,10,IF(L246=7,9,IF(L246=8,8,0))))))))+IF(L246&lt;=8,0,IF(L246&lt;=16,6,0))-IF(L246&lt;=8,0,IF(L246&lt;=16,(L246-9)*0.17,0)),0)+IF(F246="JnPČ",IF(L246=1,51,IF(L246=2,35.7,IF(L246=3,27,IF(L246=4,19.5,IF(L246=5,18,IF(L246=6,16.5,IF(L246=7,15,IF(L246=8,13.5,0))))))))+IF(L246&lt;=8,0,IF(L246&lt;=16,10,0))-IF(L246&lt;=8,0,IF(L246&lt;=16,(L246-9)*0.255,0)),0)+IF(F246="JnEČ",IF(L246=1,25.5,IF(L246=2,19.53,IF(L246=3,15.48,IF(L246=4,9,IF(L246=5,8.25,IF(L246=6,7.5,IF(L246=7,6.75,IF(L246=8,6,0))))))))+IF(L246&lt;=8,0,IF(L246&lt;=16,5,0))-IF(L246&lt;=8,0,IF(L246&lt;=16,(L246-9)*0.1275,0)),0)+IF(F246="JčPČ",IF(L246=1,21.25,IF(L246=2,14.5,IF(L246=3,11.5,IF(L246=4,7,IF(L246=5,6.5,IF(L246=6,6,IF(L246=7,5.5,IF(L246=8,5,0))))))))+IF(L246&lt;=8,0,IF(L246&lt;=16,4,0))-IF(L246&lt;=8,0,IF(L246&lt;=16,(L246-9)*0.10625,0)),0)+IF(F246="JčEČ",IF(L246=1,17,IF(L246=2,13.02,IF(L246=3,10.32,IF(L246=4,6,IF(L246=5,5.5,IF(L246=6,5,IF(L246=7,4.5,IF(L246=8,4,0))))))))+IF(L246&lt;=8,0,IF(L246&lt;=16,3,0))-IF(L246&lt;=8,0,IF(L246&lt;=16,(L246-9)*0.085,0)),0)+IF(F246="NEAK",IF(L246=1,11.48,IF(L246=2,8.79,IF(L246=3,6.97,IF(L246=4,4.05,IF(L246=5,3.71,IF(L246=6,3.38,IF(L246=7,3.04,IF(L246=8,2.7,0))))))))+IF(L246&lt;=8,0,IF(L246&lt;=16,2,IF(L246&lt;=24,1.3,0)))-IF(L246&lt;=8,0,IF(L246&lt;=16,(L246-9)*0.0574,IF(L246&lt;=24,(L246-17)*0.0574,0))),0))*IF(L246&lt;0,1,IF(OR(F246="PČ",F246="PŽ",F246="PT"),IF(J246&lt;32,J246/32,1),1))* IF(L246&lt;0,1,IF(OR(F246="EČ",F246="EŽ",F246="JOŽ",F246="JPČ",F246="NEAK"),IF(J246&lt;24,J246/24,1),1))*IF(L246&lt;0,1,IF(OR(F246="PČneol",F246="JEČ",F246="JEOF",F246="JnPČ",F246="JnEČ",F246="JčPČ",F246="JčEČ"),IF(J246&lt;16,J246/16,1),1))*IF(L246&lt;0,1,IF(F246="EČneol",IF(J246&lt;8,J246/8,1),1))</f>
        <v>0</v>
      </c>
      <c r="O246" s="9">
        <f t="shared" ref="O246:O253" si="110">IF(F246="OŽ",N246,IF(H246="Ne",IF(J246*0.3&lt;J246-L246,N246,0),IF(J246*0.1&lt;J246-L246,N246,0)))</f>
        <v>0</v>
      </c>
      <c r="P246" s="4">
        <f t="shared" si="106"/>
        <v>0</v>
      </c>
      <c r="Q246" s="11">
        <f t="shared" si="107"/>
        <v>0</v>
      </c>
      <c r="R246" s="10">
        <f t="shared" ref="R246:R253" si="111">IF(Q246&lt;=30,O246+P246,O246+O246*0.3)*IF(G246=1,0.4,IF(G246=2,0.75,IF(G246="1 (kas 4 m. 1 k. nerengiamos)",0.52,1)))*IF(D246="olimpinė",1,IF(M246="Ne",0.5,1))*IF(OR(A$5="Lietuvos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federacija"),IF(OR(J246&lt;8,K246&lt;16),0,1),1)*E246*IF(I246&lt;=1,1,1/I246)*IF(OR(A$5="Lietuvos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7" spans="1:18" s="8" customFormat="1">
      <c r="A247" s="73">
        <v>4</v>
      </c>
      <c r="B247" s="73"/>
      <c r="C247" s="12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3">
        <f t="shared" si="109"/>
        <v>0</v>
      </c>
      <c r="O247" s="9">
        <f t="shared" si="110"/>
        <v>0</v>
      </c>
      <c r="P247" s="4">
        <f t="shared" si="106"/>
        <v>0</v>
      </c>
      <c r="Q247" s="11">
        <f t="shared" si="107"/>
        <v>0</v>
      </c>
      <c r="R247" s="10">
        <f t="shared" si="111"/>
        <v>0</v>
      </c>
    </row>
    <row r="248" spans="1:18" s="8" customFormat="1">
      <c r="A248" s="73">
        <v>5</v>
      </c>
      <c r="B248" s="73"/>
      <c r="C248" s="12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3">
        <f t="shared" si="109"/>
        <v>0</v>
      </c>
      <c r="O248" s="9">
        <f t="shared" si="110"/>
        <v>0</v>
      </c>
      <c r="P248" s="4">
        <f t="shared" si="106"/>
        <v>0</v>
      </c>
      <c r="Q248" s="11">
        <f t="shared" si="107"/>
        <v>0</v>
      </c>
      <c r="R248" s="10">
        <f t="shared" si="111"/>
        <v>0</v>
      </c>
    </row>
    <row r="249" spans="1:18" s="8" customFormat="1">
      <c r="A249" s="73">
        <v>6</v>
      </c>
      <c r="B249" s="73"/>
      <c r="C249" s="12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3">
        <f t="shared" si="109"/>
        <v>0</v>
      </c>
      <c r="O249" s="9">
        <f t="shared" si="110"/>
        <v>0</v>
      </c>
      <c r="P249" s="4">
        <f t="shared" si="106"/>
        <v>0</v>
      </c>
      <c r="Q249" s="11">
        <f t="shared" si="107"/>
        <v>0</v>
      </c>
      <c r="R249" s="10">
        <f t="shared" si="111"/>
        <v>0</v>
      </c>
    </row>
    <row r="250" spans="1:18" s="8" customFormat="1">
      <c r="A250" s="73">
        <v>7</v>
      </c>
      <c r="B250" s="73"/>
      <c r="C250" s="12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3">
        <f t="shared" si="109"/>
        <v>0</v>
      </c>
      <c r="O250" s="9">
        <f t="shared" si="110"/>
        <v>0</v>
      </c>
      <c r="P250" s="4">
        <f t="shared" si="106"/>
        <v>0</v>
      </c>
      <c r="Q250" s="11">
        <f t="shared" si="107"/>
        <v>0</v>
      </c>
      <c r="R250" s="10">
        <f t="shared" si="111"/>
        <v>0</v>
      </c>
    </row>
    <row r="251" spans="1:18" s="8" customFormat="1">
      <c r="A251" s="73">
        <v>8</v>
      </c>
      <c r="B251" s="73"/>
      <c r="C251" s="12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3">
        <f t="shared" si="109"/>
        <v>0</v>
      </c>
      <c r="O251" s="9">
        <f t="shared" si="110"/>
        <v>0</v>
      </c>
      <c r="P251" s="4">
        <f t="shared" si="106"/>
        <v>0</v>
      </c>
      <c r="Q251" s="11">
        <f t="shared" si="107"/>
        <v>0</v>
      </c>
      <c r="R251" s="10">
        <f t="shared" si="111"/>
        <v>0</v>
      </c>
    </row>
    <row r="252" spans="1:18" s="8" customFormat="1">
      <c r="A252" s="73">
        <v>9</v>
      </c>
      <c r="B252" s="73"/>
      <c r="C252" s="12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3">
        <f t="shared" si="109"/>
        <v>0</v>
      </c>
      <c r="O252" s="9">
        <f t="shared" si="110"/>
        <v>0</v>
      </c>
      <c r="P252" s="4">
        <f t="shared" si="106"/>
        <v>0</v>
      </c>
      <c r="Q252" s="11">
        <f t="shared" si="107"/>
        <v>0</v>
      </c>
      <c r="R252" s="10">
        <f t="shared" si="111"/>
        <v>0</v>
      </c>
    </row>
    <row r="253" spans="1:18" s="8" customFormat="1">
      <c r="A253" s="73">
        <v>10</v>
      </c>
      <c r="B253" s="73"/>
      <c r="C253" s="12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3">
        <f t="shared" si="109"/>
        <v>0</v>
      </c>
      <c r="O253" s="9">
        <f t="shared" si="110"/>
        <v>0</v>
      </c>
      <c r="P253" s="4">
        <f t="shared" si="106"/>
        <v>0</v>
      </c>
      <c r="Q253" s="11">
        <f t="shared" si="107"/>
        <v>0</v>
      </c>
      <c r="R253" s="10">
        <f t="shared" si="111"/>
        <v>0</v>
      </c>
    </row>
    <row r="254" spans="1:18" s="8" customFormat="1">
      <c r="A254" s="82" t="s">
        <v>36</v>
      </c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4"/>
      <c r="R254" s="10">
        <f>SUM(R244:R253)</f>
        <v>0</v>
      </c>
    </row>
    <row r="255" spans="1:18" s="8" customFormat="1" ht="15.75">
      <c r="A255" s="24" t="s">
        <v>37</v>
      </c>
      <c r="B255" s="24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7"/>
    </row>
    <row r="256" spans="1:18" s="8" customFormat="1">
      <c r="A256" s="49" t="s">
        <v>49</v>
      </c>
      <c r="B256" s="49"/>
      <c r="C256" s="49"/>
      <c r="D256" s="49"/>
      <c r="E256" s="49"/>
      <c r="F256" s="49"/>
      <c r="G256" s="49"/>
      <c r="H256" s="49"/>
      <c r="I256" s="49"/>
      <c r="J256" s="56"/>
      <c r="K256" s="56"/>
      <c r="L256" s="56"/>
      <c r="M256" s="56"/>
      <c r="N256" s="56"/>
      <c r="O256" s="56"/>
      <c r="P256" s="56"/>
      <c r="Q256" s="56"/>
      <c r="R256" s="57"/>
    </row>
    <row r="257" spans="1:18" s="8" customFormat="1">
      <c r="A257" s="49"/>
      <c r="B257" s="49"/>
      <c r="C257" s="49"/>
      <c r="D257" s="49"/>
      <c r="E257" s="49"/>
      <c r="F257" s="49"/>
      <c r="G257" s="49"/>
      <c r="H257" s="49"/>
      <c r="I257" s="49"/>
      <c r="J257" s="56"/>
      <c r="K257" s="56"/>
      <c r="L257" s="56"/>
      <c r="M257" s="56"/>
      <c r="N257" s="56"/>
      <c r="O257" s="56"/>
      <c r="P257" s="56"/>
      <c r="Q257" s="56"/>
      <c r="R257" s="57"/>
    </row>
    <row r="258" spans="1:18" s="8" customFormat="1">
      <c r="A258" s="76" t="s">
        <v>89</v>
      </c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68"/>
    </row>
    <row r="259" spans="1:18" s="8" customFormat="1" ht="18">
      <c r="A259" s="78" t="s">
        <v>27</v>
      </c>
      <c r="B259" s="79"/>
      <c r="C259" s="79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68"/>
    </row>
    <row r="260" spans="1:18" s="8" customFormat="1">
      <c r="A260" s="80" t="s">
        <v>90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68"/>
    </row>
    <row r="261" spans="1:18" s="8" customFormat="1">
      <c r="A261" s="73">
        <v>1</v>
      </c>
      <c r="B261" s="59" t="s">
        <v>91</v>
      </c>
      <c r="C261" s="12" t="s">
        <v>85</v>
      </c>
      <c r="D261" s="73" t="s">
        <v>31</v>
      </c>
      <c r="E261" s="73">
        <v>1</v>
      </c>
      <c r="F261" s="73" t="s">
        <v>70</v>
      </c>
      <c r="G261" s="73">
        <v>1</v>
      </c>
      <c r="H261" s="73" t="s">
        <v>59</v>
      </c>
      <c r="I261" s="73"/>
      <c r="J261" s="73">
        <v>136</v>
      </c>
      <c r="K261" s="73">
        <v>37</v>
      </c>
      <c r="L261" s="73">
        <v>82</v>
      </c>
      <c r="M261" s="73"/>
      <c r="N261" s="3">
        <f t="shared" ref="N261:N264" si="112">(IF(F261="OŽ",IF(L261=1,550.8,IF(L261=2,426.38,IF(L261=3,342.14,IF(L261=4,181.44,IF(L261=5,168.48,IF(L261=6,155.52,IF(L261=7,148.5,IF(L261=8,144,0))))))))+IF(L261&lt;=8,0,IF(L261&lt;=16,137.7,IF(L261&lt;=24,108,IF(L261&lt;=32,80.1,IF(L261&lt;=36,52.2,0)))))-IF(L261&lt;=8,0,IF(L261&lt;=16,(L261-9)*2.754,IF(L261&lt;=24,(L261-17)* 2.754,IF(L261&lt;=32,(L261-25)* 2.754,IF(L261&lt;=36,(L261-33)*2.754,0))))),0)+IF(F261="PČ",IF(L261=1,449,IF(L261=2,314.6,IF(L261=3,238,IF(L261=4,172,IF(L261=5,159,IF(L261=6,145,IF(L261=7,132,IF(L261=8,119,0))))))))+IF(L261&lt;=8,0,IF(L261&lt;=16,88,IF(L261&lt;=24,55,IF(L261&lt;=32,22,0))))-IF(L261&lt;=8,0,IF(L261&lt;=16,(L261-9)*2.245,IF(L261&lt;=24,(L261-17)*2.245,IF(L261&lt;=32,(L261-25)*2.245,0)))),0)+IF(F261="PČneol",IF(L261=1,85,IF(L261=2,64.61,IF(L261=3,50.76,IF(L261=4,16.25,IF(L261=5,15,IF(L261=6,13.75,IF(L261=7,12.5,IF(L261=8,11.25,0))))))))+IF(L261&lt;=8,0,IF(L261&lt;=16,9,0))-IF(L261&lt;=8,0,IF(L261&lt;=16,(L261-9)*0.425,0)),0)+IF(F261="PŽ",IF(L261=1,85,IF(L261=2,59.5,IF(L261=3,45,IF(L261=4,32.5,IF(L261=5,30,IF(L261=6,27.5,IF(L261=7,25,IF(L261=8,22.5,0))))))))+IF(L261&lt;=8,0,IF(L261&lt;=16,19,IF(L261&lt;=24,13,IF(L261&lt;=32,8,0))))-IF(L261&lt;=8,0,IF(L261&lt;=16,(L261-9)*0.425,IF(L261&lt;=24,(L261-17)*0.425,IF(L261&lt;=32,(L261-25)*0.425,0)))),0)+IF(F261="EČ",IF(L261=1,204,IF(L261=2,156.24,IF(L261=3,123.84,IF(L261=4,72,IF(L261=5,66,IF(L261=6,60,IF(L261=7,54,IF(L261=8,48,0))))))))+IF(L261&lt;=8,0,IF(L261&lt;=16,40,IF(L261&lt;=24,25,0)))-IF(L261&lt;=8,0,IF(L261&lt;=16,(L261-9)*1.02,IF(L261&lt;=24,(L261-17)*1.02,0))),0)+IF(F261="EČneol",IF(L261=1,68,IF(L261=2,51.69,IF(L261=3,40.61,IF(L261=4,13,IF(L261=5,12,IF(L261=6,11,IF(L261=7,10,IF(L261=8,9,0)))))))))+IF(F261="EŽ",IF(L261=1,68,IF(L261=2,47.6,IF(L261=3,36,IF(L261=4,18,IF(L261=5,16.5,IF(L261=6,15,IF(L261=7,13.5,IF(L261=8,12,0))))))))+IF(L261&lt;=8,0,IF(L261&lt;=16,10,IF(L261&lt;=24,6,0)))-IF(L261&lt;=8,0,IF(L261&lt;=16,(L261-9)*0.34,IF(L261&lt;=24,(L261-17)*0.34,0))),0)+IF(F261="PT",IF(L261=1,68,IF(L261=2,52.08,IF(L261=3,41.28,IF(L261=4,24,IF(L261=5,22,IF(L261=6,20,IF(L261=7,18,IF(L261=8,16,0))))))))+IF(L261&lt;=8,0,IF(L261&lt;=16,13,IF(L261&lt;=24,9,IF(L261&lt;=32,4,0))))-IF(L261&lt;=8,0,IF(L261&lt;=16,(L261-9)*0.34,IF(L261&lt;=24,(L261-17)*0.34,IF(L261&lt;=32,(L261-25)*0.34,0)))),0)+IF(F261="JOŽ",IF(L261=1,85,IF(L261=2,59.5,IF(L261=3,45,IF(L261=4,32.5,IF(L261=5,30,IF(L261=6,27.5,IF(L261=7,25,IF(L261=8,22.5,0))))))))+IF(L261&lt;=8,0,IF(L261&lt;=16,19,IF(L261&lt;=24,13,0)))-IF(L261&lt;=8,0,IF(L261&lt;=16,(L261-9)*0.425,IF(L261&lt;=24,(L261-17)*0.425,0))),0)+IF(F261="JPČ",IF(L261=1,68,IF(L261=2,47.6,IF(L261=3,36,IF(L261=4,26,IF(L261=5,24,IF(L261=6,22,IF(L261=7,20,IF(L261=8,18,0))))))))+IF(L261&lt;=8,0,IF(L261&lt;=16,13,IF(L261&lt;=24,9,0)))-IF(L261&lt;=8,0,IF(L261&lt;=16,(L261-9)*0.34,IF(L261&lt;=24,(L261-17)*0.34,0))),0)+IF(F261="JEČ",IF(L261=1,34,IF(L261=2,26.04,IF(L261=3,20.6,IF(L261=4,12,IF(L261=5,11,IF(L261=6,10,IF(L261=7,9,IF(L261=8,8,0))))))))+IF(L261&lt;=8,0,IF(L261&lt;=16,6,0))-IF(L261&lt;=8,0,IF(L261&lt;=16,(L261-9)*0.17,0)),0)+IF(F261="JEOF",IF(L261=1,34,IF(L261=2,26.04,IF(L261=3,20.6,IF(L261=4,12,IF(L261=5,11,IF(L261=6,10,IF(L261=7,9,IF(L261=8,8,0))))))))+IF(L261&lt;=8,0,IF(L261&lt;=16,6,0))-IF(L261&lt;=8,0,IF(L261&lt;=16,(L261-9)*0.17,0)),0)+IF(F261="JnPČ",IF(L261=1,51,IF(L261=2,35.7,IF(L261=3,27,IF(L261=4,19.5,IF(L261=5,18,IF(L261=6,16.5,IF(L261=7,15,IF(L261=8,13.5,0))))))))+IF(L261&lt;=8,0,IF(L261&lt;=16,10,0))-IF(L261&lt;=8,0,IF(L261&lt;=16,(L261-9)*0.255,0)),0)+IF(F261="JnEČ",IF(L261=1,25.5,IF(L261=2,19.53,IF(L261=3,15.48,IF(L261=4,9,IF(L261=5,8.25,IF(L261=6,7.5,IF(L261=7,6.75,IF(L261=8,6,0))))))))+IF(L261&lt;=8,0,IF(L261&lt;=16,5,0))-IF(L261&lt;=8,0,IF(L261&lt;=16,(L261-9)*0.1275,0)),0)+IF(F261="JčPČ",IF(L261=1,21.25,IF(L261=2,14.5,IF(L261=3,11.5,IF(L261=4,7,IF(L261=5,6.5,IF(L261=6,6,IF(L261=7,5.5,IF(L261=8,5,0))))))))+IF(L261&lt;=8,0,IF(L261&lt;=16,4,0))-IF(L261&lt;=8,0,IF(L261&lt;=16,(L261-9)*0.10625,0)),0)+IF(F261="JčEČ",IF(L261=1,17,IF(L261=2,13.02,IF(L261=3,10.32,IF(L261=4,6,IF(L261=5,5.5,IF(L261=6,5,IF(L261=7,4.5,IF(L261=8,4,0))))))))+IF(L261&lt;=8,0,IF(L261&lt;=16,3,0))-IF(L261&lt;=8,0,IF(L261&lt;=16,(L261-9)*0.085,0)),0)+IF(F261="NEAK",IF(L261=1,11.48,IF(L261=2,8.79,IF(L261=3,6.97,IF(L261=4,4.05,IF(L261=5,3.71,IF(L261=6,3.38,IF(L261=7,3.04,IF(L261=8,2.7,0))))))))+IF(L261&lt;=8,0,IF(L261&lt;=16,2,IF(L261&lt;=24,1.3,0)))-IF(L261&lt;=8,0,IF(L261&lt;=16,(L261-9)*0.0574,IF(L261&lt;=24,(L261-17)*0.0574,0))),0))*IF(L261&lt;4,1,IF(OR(F261="PČ",F261="PŽ",F261="PT"),IF(J261&lt;32,J261/32,1),1))* IF(L261&lt;4,1,IF(OR(F261="EČ",F261="EŽ",F261="JOŽ",F261="JPČ",F261="NEAK"),IF(J261&lt;24,J261/24,1),1))*IF(L261&lt;4,1,IF(OR(F261="PČneol",F261="JEČ",F261="JEOF",F261="JnPČ",F261="JnEČ",F261="JčPČ",F261="JčEČ"),IF(J261&lt;16,J261/16,1),1))*IF(L261&lt;4,1,IF(F261="EČneol",IF(J261&lt;8,J261/8,1),1))</f>
        <v>0</v>
      </c>
      <c r="O261" s="9">
        <f t="shared" ref="O261:O264" si="113">IF(F261="OŽ",N261,IF(H261="Ne",IF(J261*0.3&lt;=J261-L261,N261,0),IF(J261*0.1&lt;=J261-L261,N261,0)))</f>
        <v>0</v>
      </c>
      <c r="P261" s="4">
        <f t="shared" ref="P261:P270" si="114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70" si="115">IF(ISERROR(P261*100/N261),0,(P261*100/N261))</f>
        <v>0</v>
      </c>
      <c r="R261" s="10">
        <f t="shared" ref="R261:R264" si="116">IF(Q261&lt;=30,O261+P261,O261+O261*0.3)*IF(G261=1,0.4,IF(G261=2,0.75,IF(G261="1 (kas 4 m. 1 k. nerengiamos)",0.52,1)))*IF(D261="olimpinė",1,IF(M261="Ne",0.5,1))*IF(D261="olimpinė",1,IF(J261&lt;8,0,1))*E261*IF(D261="olimpinė",1,IF(K261&lt;16,0,1))*IF(I261&lt;=1,1,1/I261)*IF(OR(A$5="Lietuvos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2" spans="1:18" s="8" customFormat="1">
      <c r="A262" s="73">
        <v>2</v>
      </c>
      <c r="B262" s="59" t="s">
        <v>69</v>
      </c>
      <c r="C262" s="60" t="s">
        <v>85</v>
      </c>
      <c r="D262" s="73" t="s">
        <v>31</v>
      </c>
      <c r="E262" s="73">
        <v>1</v>
      </c>
      <c r="F262" s="73" t="s">
        <v>70</v>
      </c>
      <c r="G262" s="73">
        <v>1</v>
      </c>
      <c r="H262" s="73" t="s">
        <v>59</v>
      </c>
      <c r="I262" s="73"/>
      <c r="J262" s="61">
        <v>136</v>
      </c>
      <c r="K262" s="73">
        <v>37</v>
      </c>
      <c r="L262" s="73">
        <v>122</v>
      </c>
      <c r="M262" s="73"/>
      <c r="N262" s="3">
        <f t="shared" si="112"/>
        <v>0</v>
      </c>
      <c r="O262" s="9">
        <f t="shared" si="113"/>
        <v>0</v>
      </c>
      <c r="P262" s="4">
        <f t="shared" si="114"/>
        <v>0</v>
      </c>
      <c r="Q262" s="11">
        <f t="shared" si="115"/>
        <v>0</v>
      </c>
      <c r="R262" s="10">
        <f t="shared" si="116"/>
        <v>0</v>
      </c>
    </row>
    <row r="263" spans="1:18" s="8" customFormat="1">
      <c r="A263" s="73">
        <v>3</v>
      </c>
      <c r="B263" s="59" t="s">
        <v>92</v>
      </c>
      <c r="C263" s="60" t="s">
        <v>85</v>
      </c>
      <c r="D263" s="73" t="s">
        <v>31</v>
      </c>
      <c r="E263" s="73">
        <v>1</v>
      </c>
      <c r="F263" s="73" t="s">
        <v>70</v>
      </c>
      <c r="G263" s="73">
        <v>1</v>
      </c>
      <c r="H263" s="73" t="s">
        <v>59</v>
      </c>
      <c r="I263" s="73"/>
      <c r="J263" s="61">
        <v>136</v>
      </c>
      <c r="K263" s="73">
        <v>37</v>
      </c>
      <c r="L263" s="73">
        <v>103</v>
      </c>
      <c r="M263" s="73"/>
      <c r="N263" s="3">
        <f t="shared" si="112"/>
        <v>0</v>
      </c>
      <c r="O263" s="9">
        <f t="shared" si="113"/>
        <v>0</v>
      </c>
      <c r="P263" s="4">
        <f t="shared" si="114"/>
        <v>0</v>
      </c>
      <c r="Q263" s="11">
        <f t="shared" si="115"/>
        <v>0</v>
      </c>
      <c r="R263" s="10">
        <f t="shared" si="116"/>
        <v>0</v>
      </c>
    </row>
    <row r="264" spans="1:18" s="8" customFormat="1">
      <c r="A264" s="73">
        <v>4</v>
      </c>
      <c r="B264" s="59" t="s">
        <v>93</v>
      </c>
      <c r="C264" s="60" t="s">
        <v>85</v>
      </c>
      <c r="D264" s="73" t="s">
        <v>31</v>
      </c>
      <c r="E264" s="73">
        <v>1</v>
      </c>
      <c r="F264" s="73" t="s">
        <v>70</v>
      </c>
      <c r="G264" s="73">
        <v>1</v>
      </c>
      <c r="H264" s="73" t="s">
        <v>59</v>
      </c>
      <c r="I264" s="73"/>
      <c r="J264" s="61">
        <v>136</v>
      </c>
      <c r="K264" s="73">
        <v>37</v>
      </c>
      <c r="L264" s="73">
        <v>120</v>
      </c>
      <c r="M264" s="73"/>
      <c r="N264" s="3">
        <f t="shared" si="112"/>
        <v>0</v>
      </c>
      <c r="O264" s="9">
        <f t="shared" si="113"/>
        <v>0</v>
      </c>
      <c r="P264" s="4">
        <f t="shared" si="114"/>
        <v>0</v>
      </c>
      <c r="Q264" s="11">
        <f t="shared" si="115"/>
        <v>0</v>
      </c>
      <c r="R264" s="10">
        <f t="shared" si="116"/>
        <v>0</v>
      </c>
    </row>
    <row r="265" spans="1:18" s="8" customFormat="1">
      <c r="A265" s="73">
        <v>5</v>
      </c>
      <c r="B265" s="73"/>
      <c r="C265" s="12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3">
        <f t="shared" ref="N265:N270" si="117">(IF(F265="OŽ",IF(L265=1,550.8,IF(L265=2,426.38,IF(L265=3,342.14,IF(L265=4,181.44,IF(L265=5,168.48,IF(L265=6,155.52,IF(L265=7,148.5,IF(L265=8,144,0))))))))+IF(L265&lt;=8,0,IF(L265&lt;=16,137.7,IF(L265&lt;=24,108,IF(L265&lt;=32,80.1,IF(L265&lt;=36,52.2,0)))))-IF(L265&lt;=8,0,IF(L265&lt;=16,(L265-9)*2.754,IF(L265&lt;=24,(L265-17)* 2.754,IF(L265&lt;=32,(L265-25)* 2.754,IF(L265&lt;=36,(L265-33)*2.754,0))))),0)+IF(F265="PČ",IF(L265=1,449,IF(L265=2,314.6,IF(L265=3,238,IF(L265=4,172,IF(L265=5,159,IF(L265=6,145,IF(L265=7,132,IF(L265=8,119,0))))))))+IF(L265&lt;=8,0,IF(L265&lt;=16,88,IF(L265&lt;=24,55,IF(L265&lt;=32,22,0))))-IF(L265&lt;=8,0,IF(L265&lt;=16,(L265-9)*2.245,IF(L265&lt;=24,(L265-17)*2.245,IF(L265&lt;=32,(L265-25)*2.245,0)))),0)+IF(F265="PČneol",IF(L265=1,85,IF(L265=2,64.61,IF(L265=3,50.76,IF(L265=4,16.25,IF(L265=5,15,IF(L265=6,13.75,IF(L265=7,12.5,IF(L265=8,11.25,0))))))))+IF(L265&lt;=8,0,IF(L265&lt;=16,9,0))-IF(L265&lt;=8,0,IF(L265&lt;=16,(L265-9)*0.425,0)),0)+IF(F265="PŽ",IF(L265=1,85,IF(L265=2,59.5,IF(L265=3,45,IF(L265=4,32.5,IF(L265=5,30,IF(L265=6,27.5,IF(L265=7,25,IF(L265=8,22.5,0))))))))+IF(L265&lt;=8,0,IF(L265&lt;=16,19,IF(L265&lt;=24,13,IF(L265&lt;=32,8,0))))-IF(L265&lt;=8,0,IF(L265&lt;=16,(L265-9)*0.425,IF(L265&lt;=24,(L265-17)*0.425,IF(L265&lt;=32,(L265-25)*0.425,0)))),0)+IF(F265="EČ",IF(L265=1,204,IF(L265=2,156.24,IF(L265=3,123.84,IF(L265=4,72,IF(L265=5,66,IF(L265=6,60,IF(L265=7,54,IF(L265=8,48,0))))))))+IF(L265&lt;=8,0,IF(L265&lt;=16,40,IF(L265&lt;=24,25,0)))-IF(L265&lt;=8,0,IF(L265&lt;=16,(L265-9)*1.02,IF(L265&lt;=24,(L265-17)*1.02,0))),0)+IF(F265="EČneol",IF(L265=1,68,IF(L265=2,51.69,IF(L265=3,40.61,IF(L265=4,13,IF(L265=5,12,IF(L265=6,11,IF(L265=7,10,IF(L265=8,9,0)))))))))+IF(F265="EŽ",IF(L265=1,68,IF(L265=2,47.6,IF(L265=3,36,IF(L265=4,18,IF(L265=5,16.5,IF(L265=6,15,IF(L265=7,13.5,IF(L265=8,12,0))))))))+IF(L265&lt;=8,0,IF(L265&lt;=16,10,IF(L265&lt;=24,6,0)))-IF(L265&lt;=8,0,IF(L265&lt;=16,(L265-9)*0.34,IF(L265&lt;=24,(L265-17)*0.34,0))),0)+IF(F265="PT",IF(L265=1,68,IF(L265=2,52.08,IF(L265=3,41.28,IF(L265=4,24,IF(L265=5,22,IF(L265=6,20,IF(L265=7,18,IF(L265=8,16,0))))))))+IF(L265&lt;=8,0,IF(L265&lt;=16,13,IF(L265&lt;=24,9,IF(L265&lt;=32,4,0))))-IF(L265&lt;=8,0,IF(L265&lt;=16,(L265-9)*0.34,IF(L265&lt;=24,(L265-17)*0.34,IF(L265&lt;=32,(L265-25)*0.34,0)))),0)+IF(F265="JOŽ",IF(L265=1,85,IF(L265=2,59.5,IF(L265=3,45,IF(L265=4,32.5,IF(L265=5,30,IF(L265=6,27.5,IF(L265=7,25,IF(L265=8,22.5,0))))))))+IF(L265&lt;=8,0,IF(L265&lt;=16,19,IF(L265&lt;=24,13,0)))-IF(L265&lt;=8,0,IF(L265&lt;=16,(L265-9)*0.425,IF(L265&lt;=24,(L265-17)*0.425,0))),0)+IF(F265="JPČ",IF(L265=1,68,IF(L265=2,47.6,IF(L265=3,36,IF(L265=4,26,IF(L265=5,24,IF(L265=6,22,IF(L265=7,20,IF(L265=8,18,0))))))))+IF(L265&lt;=8,0,IF(L265&lt;=16,13,IF(L265&lt;=24,9,0)))-IF(L265&lt;=8,0,IF(L265&lt;=16,(L265-9)*0.34,IF(L265&lt;=24,(L265-17)*0.34,0))),0)+IF(F265="JEČ",IF(L265=1,34,IF(L265=2,26.04,IF(L265=3,20.6,IF(L265=4,12,IF(L265=5,11,IF(L265=6,10,IF(L265=7,9,IF(L265=8,8,0))))))))+IF(L265&lt;=8,0,IF(L265&lt;=16,6,0))-IF(L265&lt;=8,0,IF(L265&lt;=16,(L265-9)*0.17,0)),0)+IF(F265="JEOF",IF(L265=1,34,IF(L265=2,26.04,IF(L265=3,20.6,IF(L265=4,12,IF(L265=5,11,IF(L265=6,10,IF(L265=7,9,IF(L265=8,8,0))))))))+IF(L265&lt;=8,0,IF(L265&lt;=16,6,0))-IF(L265&lt;=8,0,IF(L265&lt;=16,(L265-9)*0.17,0)),0)+IF(F265="JnPČ",IF(L265=1,51,IF(L265=2,35.7,IF(L265=3,27,IF(L265=4,19.5,IF(L265=5,18,IF(L265=6,16.5,IF(L265=7,15,IF(L265=8,13.5,0))))))))+IF(L265&lt;=8,0,IF(L265&lt;=16,10,0))-IF(L265&lt;=8,0,IF(L265&lt;=16,(L265-9)*0.255,0)),0)+IF(F265="JnEČ",IF(L265=1,25.5,IF(L265=2,19.53,IF(L265=3,15.48,IF(L265=4,9,IF(L265=5,8.25,IF(L265=6,7.5,IF(L265=7,6.75,IF(L265=8,6,0))))))))+IF(L265&lt;=8,0,IF(L265&lt;=16,5,0))-IF(L265&lt;=8,0,IF(L265&lt;=16,(L265-9)*0.1275,0)),0)+IF(F265="JčPČ",IF(L265=1,21.25,IF(L265=2,14.5,IF(L265=3,11.5,IF(L265=4,7,IF(L265=5,6.5,IF(L265=6,6,IF(L265=7,5.5,IF(L265=8,5,0))))))))+IF(L265&lt;=8,0,IF(L265&lt;=16,4,0))-IF(L265&lt;=8,0,IF(L265&lt;=16,(L265-9)*0.10625,0)),0)+IF(F265="JčEČ",IF(L265=1,17,IF(L265=2,13.02,IF(L265=3,10.32,IF(L265=4,6,IF(L265=5,5.5,IF(L265=6,5,IF(L265=7,4.5,IF(L265=8,4,0))))))))+IF(L265&lt;=8,0,IF(L265&lt;=16,3,0))-IF(L265&lt;=8,0,IF(L265&lt;=16,(L265-9)*0.085,0)),0)+IF(F265="NEAK",IF(L265=1,11.48,IF(L265=2,8.79,IF(L265=3,6.97,IF(L265=4,4.05,IF(L265=5,3.71,IF(L265=6,3.38,IF(L265=7,3.04,IF(L265=8,2.7,0))))))))+IF(L265&lt;=8,0,IF(L265&lt;=16,2,IF(L265&lt;=24,1.3,0)))-IF(L265&lt;=8,0,IF(L265&lt;=16,(L265-9)*0.0574,IF(L265&lt;=24,(L265-17)*0.0574,0))),0))*IF(L265&lt;0,1,IF(OR(F265="PČ",F265="PŽ",F265="PT"),IF(J265&lt;32,J265/32,1),1))* IF(L265&lt;0,1,IF(OR(F265="EČ",F265="EŽ",F265="JOŽ",F265="JPČ",F265="NEAK"),IF(J265&lt;24,J265/24,1),1))*IF(L265&lt;0,1,IF(OR(F265="PČneol",F265="JEČ",F265="JEOF",F265="JnPČ",F265="JnEČ",F265="JčPČ",F265="JčEČ"),IF(J265&lt;16,J265/16,1),1))*IF(L265&lt;0,1,IF(F265="EČneol",IF(J265&lt;8,J265/8,1),1))</f>
        <v>0</v>
      </c>
      <c r="O265" s="9">
        <f t="shared" ref="O265:O270" si="118">IF(F265="OŽ",N265,IF(H265="Ne",IF(J265*0.3&lt;J265-L265,N265,0),IF(J265*0.1&lt;J265-L265,N265,0)))</f>
        <v>0</v>
      </c>
      <c r="P265" s="4">
        <f t="shared" si="114"/>
        <v>0</v>
      </c>
      <c r="Q265" s="11">
        <f t="shared" si="115"/>
        <v>0</v>
      </c>
      <c r="R265" s="10">
        <f t="shared" ref="R265:R270" si="119">IF(Q265&lt;=30,O265+P265,O265+O265*0.3)*IF(G265=1,0.4,IF(G265=2,0.75,IF(G265="1 (kas 4 m. 1 k. nerengiamos)",0.52,1)))*IF(D265="olimpinė",1,IF(M265="Ne",0.5,1))*IF(OR(A$5="Lietuvos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federacija"),IF(OR(J265&lt;8,K265&lt;16),0,1),1)*E265*IF(I265&lt;=1,1,1/I265)*IF(OR(A$5="Lietuvos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6" spans="1:18" s="8" customFormat="1">
      <c r="A266" s="73">
        <v>6</v>
      </c>
      <c r="B266" s="73"/>
      <c r="C266" s="12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3">
        <f t="shared" si="117"/>
        <v>0</v>
      </c>
      <c r="O266" s="9">
        <f t="shared" si="118"/>
        <v>0</v>
      </c>
      <c r="P266" s="4">
        <f t="shared" si="114"/>
        <v>0</v>
      </c>
      <c r="Q266" s="11">
        <f t="shared" si="115"/>
        <v>0</v>
      </c>
      <c r="R266" s="10">
        <f t="shared" si="119"/>
        <v>0</v>
      </c>
    </row>
    <row r="267" spans="1:18" s="8" customFormat="1">
      <c r="A267" s="73">
        <v>7</v>
      </c>
      <c r="B267" s="73"/>
      <c r="C267" s="12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3">
        <f t="shared" si="117"/>
        <v>0</v>
      </c>
      <c r="O267" s="9">
        <f t="shared" si="118"/>
        <v>0</v>
      </c>
      <c r="P267" s="4">
        <f t="shared" si="114"/>
        <v>0</v>
      </c>
      <c r="Q267" s="11">
        <f t="shared" si="115"/>
        <v>0</v>
      </c>
      <c r="R267" s="10">
        <f t="shared" si="119"/>
        <v>0</v>
      </c>
    </row>
    <row r="268" spans="1:18" s="8" customFormat="1">
      <c r="A268" s="73">
        <v>8</v>
      </c>
      <c r="B268" s="73"/>
      <c r="C268" s="12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3">
        <f t="shared" si="117"/>
        <v>0</v>
      </c>
      <c r="O268" s="9">
        <f t="shared" si="118"/>
        <v>0</v>
      </c>
      <c r="P268" s="4">
        <f t="shared" si="114"/>
        <v>0</v>
      </c>
      <c r="Q268" s="11">
        <f t="shared" si="115"/>
        <v>0</v>
      </c>
      <c r="R268" s="10">
        <f t="shared" si="119"/>
        <v>0</v>
      </c>
    </row>
    <row r="269" spans="1:18" s="8" customFormat="1">
      <c r="A269" s="73">
        <v>9</v>
      </c>
      <c r="B269" s="73"/>
      <c r="C269" s="12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3">
        <f t="shared" si="117"/>
        <v>0</v>
      </c>
      <c r="O269" s="9">
        <f t="shared" si="118"/>
        <v>0</v>
      </c>
      <c r="P269" s="4">
        <f t="shared" si="114"/>
        <v>0</v>
      </c>
      <c r="Q269" s="11">
        <f t="shared" si="115"/>
        <v>0</v>
      </c>
      <c r="R269" s="10">
        <f t="shared" si="119"/>
        <v>0</v>
      </c>
    </row>
    <row r="270" spans="1:18" s="8" customFormat="1">
      <c r="A270" s="73">
        <v>10</v>
      </c>
      <c r="B270" s="73"/>
      <c r="C270" s="12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3">
        <f t="shared" si="117"/>
        <v>0</v>
      </c>
      <c r="O270" s="9">
        <f t="shared" si="118"/>
        <v>0</v>
      </c>
      <c r="P270" s="4">
        <f t="shared" si="114"/>
        <v>0</v>
      </c>
      <c r="Q270" s="11">
        <f t="shared" si="115"/>
        <v>0</v>
      </c>
      <c r="R270" s="10">
        <f t="shared" si="119"/>
        <v>0</v>
      </c>
    </row>
    <row r="271" spans="1:18" s="8" customFormat="1">
      <c r="A271" s="82" t="s">
        <v>36</v>
      </c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4"/>
      <c r="R271" s="10">
        <f>SUM(R261:R270)</f>
        <v>0</v>
      </c>
    </row>
    <row r="272" spans="1:18" s="8" customFormat="1" ht="15.75">
      <c r="A272" s="24" t="s">
        <v>37</v>
      </c>
      <c r="B272" s="24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7"/>
    </row>
    <row r="273" spans="1:18" s="8" customFormat="1">
      <c r="A273" s="49" t="s">
        <v>49</v>
      </c>
      <c r="B273" s="49"/>
      <c r="C273" s="49"/>
      <c r="D273" s="49"/>
      <c r="E273" s="49"/>
      <c r="F273" s="49"/>
      <c r="G273" s="49"/>
      <c r="H273" s="49"/>
      <c r="I273" s="49"/>
      <c r="J273" s="56"/>
      <c r="K273" s="56"/>
      <c r="L273" s="56"/>
      <c r="M273" s="56"/>
      <c r="N273" s="56"/>
      <c r="O273" s="56"/>
      <c r="P273" s="56"/>
      <c r="Q273" s="56"/>
      <c r="R273" s="57"/>
    </row>
    <row r="274" spans="1:18" s="8" customFormat="1">
      <c r="A274" s="76" t="s">
        <v>94</v>
      </c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68"/>
    </row>
    <row r="275" spans="1:18" s="8" customFormat="1" ht="18">
      <c r="A275" s="78" t="s">
        <v>27</v>
      </c>
      <c r="B275" s="79"/>
      <c r="C275" s="79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68"/>
    </row>
    <row r="276" spans="1:18" s="8" customFormat="1">
      <c r="A276" s="80" t="s">
        <v>95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68"/>
    </row>
    <row r="277" spans="1:18" s="8" customFormat="1">
      <c r="A277" s="73">
        <v>1</v>
      </c>
      <c r="B277" s="59" t="s">
        <v>91</v>
      </c>
      <c r="C277" s="12" t="s">
        <v>85</v>
      </c>
      <c r="D277" s="73" t="s">
        <v>31</v>
      </c>
      <c r="E277" s="73">
        <v>1</v>
      </c>
      <c r="F277" s="73" t="s">
        <v>74</v>
      </c>
      <c r="G277" s="73">
        <v>1</v>
      </c>
      <c r="H277" s="73" t="s">
        <v>59</v>
      </c>
      <c r="I277" s="73"/>
      <c r="J277" s="73">
        <v>144</v>
      </c>
      <c r="K277" s="73">
        <v>42</v>
      </c>
      <c r="L277" s="73">
        <v>72</v>
      </c>
      <c r="M277" s="73"/>
      <c r="N277" s="3">
        <f t="shared" ref="N277:N278" si="120">(IF(F277="OŽ",IF(L277=1,550.8,IF(L277=2,426.38,IF(L277=3,342.14,IF(L277=4,181.44,IF(L277=5,168.48,IF(L277=6,155.52,IF(L277=7,148.5,IF(L277=8,144,0))))))))+IF(L277&lt;=8,0,IF(L277&lt;=16,137.7,IF(L277&lt;=24,108,IF(L277&lt;=32,80.1,IF(L277&lt;=36,52.2,0)))))-IF(L277&lt;=8,0,IF(L277&lt;=16,(L277-9)*2.754,IF(L277&lt;=24,(L277-17)* 2.754,IF(L277&lt;=32,(L277-25)* 2.754,IF(L277&lt;=36,(L277-33)*2.754,0))))),0)+IF(F277="PČ",IF(L277=1,449,IF(L277=2,314.6,IF(L277=3,238,IF(L277=4,172,IF(L277=5,159,IF(L277=6,145,IF(L277=7,132,IF(L277=8,119,0))))))))+IF(L277&lt;=8,0,IF(L277&lt;=16,88,IF(L277&lt;=24,55,IF(L277&lt;=32,22,0))))-IF(L277&lt;=8,0,IF(L277&lt;=16,(L277-9)*2.245,IF(L277&lt;=24,(L277-17)*2.245,IF(L277&lt;=32,(L277-25)*2.245,0)))),0)+IF(F277="PČneol",IF(L277=1,85,IF(L277=2,64.61,IF(L277=3,50.76,IF(L277=4,16.25,IF(L277=5,15,IF(L277=6,13.75,IF(L277=7,12.5,IF(L277=8,11.25,0))))))))+IF(L277&lt;=8,0,IF(L277&lt;=16,9,0))-IF(L277&lt;=8,0,IF(L277&lt;=16,(L277-9)*0.425,0)),0)+IF(F277="PŽ",IF(L277=1,85,IF(L277=2,59.5,IF(L277=3,45,IF(L277=4,32.5,IF(L277=5,30,IF(L277=6,27.5,IF(L277=7,25,IF(L277=8,22.5,0))))))))+IF(L277&lt;=8,0,IF(L277&lt;=16,19,IF(L277&lt;=24,13,IF(L277&lt;=32,8,0))))-IF(L277&lt;=8,0,IF(L277&lt;=16,(L277-9)*0.425,IF(L277&lt;=24,(L277-17)*0.425,IF(L277&lt;=32,(L277-25)*0.425,0)))),0)+IF(F277="EČ",IF(L277=1,204,IF(L277=2,156.24,IF(L277=3,123.84,IF(L277=4,72,IF(L277=5,66,IF(L277=6,60,IF(L277=7,54,IF(L277=8,48,0))))))))+IF(L277&lt;=8,0,IF(L277&lt;=16,40,IF(L277&lt;=24,25,0)))-IF(L277&lt;=8,0,IF(L277&lt;=16,(L277-9)*1.02,IF(L277&lt;=24,(L277-17)*1.02,0))),0)+IF(F277="EČneol",IF(L277=1,68,IF(L277=2,51.69,IF(L277=3,40.61,IF(L277=4,13,IF(L277=5,12,IF(L277=6,11,IF(L277=7,10,IF(L277=8,9,0)))))))))+IF(F277="EŽ",IF(L277=1,68,IF(L277=2,47.6,IF(L277=3,36,IF(L277=4,18,IF(L277=5,16.5,IF(L277=6,15,IF(L277=7,13.5,IF(L277=8,12,0))))))))+IF(L277&lt;=8,0,IF(L277&lt;=16,10,IF(L277&lt;=24,6,0)))-IF(L277&lt;=8,0,IF(L277&lt;=16,(L277-9)*0.34,IF(L277&lt;=24,(L277-17)*0.34,0))),0)+IF(F277="PT",IF(L277=1,68,IF(L277=2,52.08,IF(L277=3,41.28,IF(L277=4,24,IF(L277=5,22,IF(L277=6,20,IF(L277=7,18,IF(L277=8,16,0))))))))+IF(L277&lt;=8,0,IF(L277&lt;=16,13,IF(L277&lt;=24,9,IF(L277&lt;=32,4,0))))-IF(L277&lt;=8,0,IF(L277&lt;=16,(L277-9)*0.34,IF(L277&lt;=24,(L277-17)*0.34,IF(L277&lt;=32,(L277-25)*0.34,0)))),0)+IF(F277="JOŽ",IF(L277=1,85,IF(L277=2,59.5,IF(L277=3,45,IF(L277=4,32.5,IF(L277=5,30,IF(L277=6,27.5,IF(L277=7,25,IF(L277=8,22.5,0))))))))+IF(L277&lt;=8,0,IF(L277&lt;=16,19,IF(L277&lt;=24,13,0)))-IF(L277&lt;=8,0,IF(L277&lt;=16,(L277-9)*0.425,IF(L277&lt;=24,(L277-17)*0.425,0))),0)+IF(F277="JPČ",IF(L277=1,68,IF(L277=2,47.6,IF(L277=3,36,IF(L277=4,26,IF(L277=5,24,IF(L277=6,22,IF(L277=7,20,IF(L277=8,18,0))))))))+IF(L277&lt;=8,0,IF(L277&lt;=16,13,IF(L277&lt;=24,9,0)))-IF(L277&lt;=8,0,IF(L277&lt;=16,(L277-9)*0.34,IF(L277&lt;=24,(L277-17)*0.34,0))),0)+IF(F277="JEČ",IF(L277=1,34,IF(L277=2,26.04,IF(L277=3,20.6,IF(L277=4,12,IF(L277=5,11,IF(L277=6,10,IF(L277=7,9,IF(L277=8,8,0))))))))+IF(L277&lt;=8,0,IF(L277&lt;=16,6,0))-IF(L277&lt;=8,0,IF(L277&lt;=16,(L277-9)*0.17,0)),0)+IF(F277="JEOF",IF(L277=1,34,IF(L277=2,26.04,IF(L277=3,20.6,IF(L277=4,12,IF(L277=5,11,IF(L277=6,10,IF(L277=7,9,IF(L277=8,8,0))))))))+IF(L277&lt;=8,0,IF(L277&lt;=16,6,0))-IF(L277&lt;=8,0,IF(L277&lt;=16,(L277-9)*0.17,0)),0)+IF(F277="JnPČ",IF(L277=1,51,IF(L277=2,35.7,IF(L277=3,27,IF(L277=4,19.5,IF(L277=5,18,IF(L277=6,16.5,IF(L277=7,15,IF(L277=8,13.5,0))))))))+IF(L277&lt;=8,0,IF(L277&lt;=16,10,0))-IF(L277&lt;=8,0,IF(L277&lt;=16,(L277-9)*0.255,0)),0)+IF(F277="JnEČ",IF(L277=1,25.5,IF(L277=2,19.53,IF(L277=3,15.48,IF(L277=4,9,IF(L277=5,8.25,IF(L277=6,7.5,IF(L277=7,6.75,IF(L277=8,6,0))))))))+IF(L277&lt;=8,0,IF(L277&lt;=16,5,0))-IF(L277&lt;=8,0,IF(L277&lt;=16,(L277-9)*0.1275,0)),0)+IF(F277="JčPČ",IF(L277=1,21.25,IF(L277=2,14.5,IF(L277=3,11.5,IF(L277=4,7,IF(L277=5,6.5,IF(L277=6,6,IF(L277=7,5.5,IF(L277=8,5,0))))))))+IF(L277&lt;=8,0,IF(L277&lt;=16,4,0))-IF(L277&lt;=8,0,IF(L277&lt;=16,(L277-9)*0.10625,0)),0)+IF(F277="JčEČ",IF(L277=1,17,IF(L277=2,13.02,IF(L277=3,10.32,IF(L277=4,6,IF(L277=5,5.5,IF(L277=6,5,IF(L277=7,4.5,IF(L277=8,4,0))))))))+IF(L277&lt;=8,0,IF(L277&lt;=16,3,0))-IF(L277&lt;=8,0,IF(L277&lt;=16,(L277-9)*0.085,0)),0)+IF(F277="NEAK",IF(L277=1,11.48,IF(L277=2,8.79,IF(L277=3,6.97,IF(L277=4,4.05,IF(L277=5,3.71,IF(L277=6,3.38,IF(L277=7,3.04,IF(L277=8,2.7,0))))))))+IF(L277&lt;=8,0,IF(L277&lt;=16,2,IF(L277&lt;=24,1.3,0)))-IF(L277&lt;=8,0,IF(L277&lt;=16,(L277-9)*0.0574,IF(L277&lt;=24,(L277-17)*0.0574,0))),0))*IF(L277&lt;4,1,IF(OR(F277="PČ",F277="PŽ",F277="PT"),IF(J277&lt;32,J277/32,1),1))* IF(L277&lt;4,1,IF(OR(F277="EČ",F277="EŽ",F277="JOŽ",F277="JPČ",F277="NEAK"),IF(J277&lt;24,J277/24,1),1))*IF(L277&lt;4,1,IF(OR(F277="PČneol",F277="JEČ",F277="JEOF",F277="JnPČ",F277="JnEČ",F277="JčPČ",F277="JčEČ"),IF(J277&lt;16,J277/16,1),1))*IF(L277&lt;4,1,IF(F277="EČneol",IF(J277&lt;8,J277/8,1),1))</f>
        <v>0</v>
      </c>
      <c r="O277" s="9">
        <f t="shared" ref="O277:O278" si="121">IF(F277="OŽ",N277,IF(H277="Ne",IF(J277*0.3&lt;=J277-L277,N277,0),IF(J277*0.1&lt;=J277-L277,N277,0)))</f>
        <v>0</v>
      </c>
      <c r="P277" s="4">
        <f t="shared" ref="P277:P286" si="122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6" si="123">IF(ISERROR(P277*100/N277),0,(P277*100/N277))</f>
        <v>0</v>
      </c>
      <c r="R277" s="10">
        <f t="shared" ref="R277:R278" si="124">IF(Q277&lt;=30,O277+P277,O277+O277*0.3)*IF(G277=1,0.4,IF(G277=2,0.75,IF(G277="1 (kas 4 m. 1 k. nerengiamos)",0.52,1)))*IF(D277="olimpinė",1,IF(M277="Ne",0.5,1))*IF(D277="olimpinė",1,IF(J277&lt;8,0,1))*E277*IF(D277="olimpinė",1,IF(K277&lt;16,0,1))*IF(I277&lt;=1,1,1/I277)*IF(OR(A$5="Lietuvos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8" spans="1:18" s="8" customFormat="1">
      <c r="A278" s="73">
        <v>2</v>
      </c>
      <c r="B278" s="59" t="s">
        <v>69</v>
      </c>
      <c r="C278" s="60" t="s">
        <v>85</v>
      </c>
      <c r="D278" s="73" t="s">
        <v>31</v>
      </c>
      <c r="E278" s="73">
        <v>1</v>
      </c>
      <c r="F278" s="73" t="s">
        <v>74</v>
      </c>
      <c r="G278" s="73">
        <v>1</v>
      </c>
      <c r="H278" s="73" t="s">
        <v>59</v>
      </c>
      <c r="I278" s="73"/>
      <c r="J278" s="61">
        <v>144</v>
      </c>
      <c r="K278" s="73">
        <v>42</v>
      </c>
      <c r="L278" s="73">
        <v>117</v>
      </c>
      <c r="M278" s="73"/>
      <c r="N278" s="3">
        <f t="shared" si="120"/>
        <v>0</v>
      </c>
      <c r="O278" s="9">
        <f t="shared" si="121"/>
        <v>0</v>
      </c>
      <c r="P278" s="4">
        <f t="shared" si="122"/>
        <v>0</v>
      </c>
      <c r="Q278" s="11">
        <f t="shared" si="123"/>
        <v>0</v>
      </c>
      <c r="R278" s="10">
        <f t="shared" si="124"/>
        <v>0</v>
      </c>
    </row>
    <row r="279" spans="1:18" s="8" customFormat="1">
      <c r="A279" s="73">
        <v>3</v>
      </c>
      <c r="B279" s="73"/>
      <c r="C279" s="12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3">
        <f t="shared" ref="N279:N286" si="125">(IF(F279="OŽ",IF(L279=1,550.8,IF(L279=2,426.38,IF(L279=3,342.14,IF(L279=4,181.44,IF(L279=5,168.48,IF(L279=6,155.52,IF(L279=7,148.5,IF(L279=8,144,0))))))))+IF(L279&lt;=8,0,IF(L279&lt;=16,137.7,IF(L279&lt;=24,108,IF(L279&lt;=32,80.1,IF(L279&lt;=36,52.2,0)))))-IF(L279&lt;=8,0,IF(L279&lt;=16,(L279-9)*2.754,IF(L279&lt;=24,(L279-17)* 2.754,IF(L279&lt;=32,(L279-25)* 2.754,IF(L279&lt;=36,(L279-33)*2.754,0))))),0)+IF(F279="PČ",IF(L279=1,449,IF(L279=2,314.6,IF(L279=3,238,IF(L279=4,172,IF(L279=5,159,IF(L279=6,145,IF(L279=7,132,IF(L279=8,119,0))))))))+IF(L279&lt;=8,0,IF(L279&lt;=16,88,IF(L279&lt;=24,55,IF(L279&lt;=32,22,0))))-IF(L279&lt;=8,0,IF(L279&lt;=16,(L279-9)*2.245,IF(L279&lt;=24,(L279-17)*2.245,IF(L279&lt;=32,(L279-25)*2.245,0)))),0)+IF(F279="PČneol",IF(L279=1,85,IF(L279=2,64.61,IF(L279=3,50.76,IF(L279=4,16.25,IF(L279=5,15,IF(L279=6,13.75,IF(L279=7,12.5,IF(L279=8,11.25,0))))))))+IF(L279&lt;=8,0,IF(L279&lt;=16,9,0))-IF(L279&lt;=8,0,IF(L279&lt;=16,(L279-9)*0.425,0)),0)+IF(F279="PŽ",IF(L279=1,85,IF(L279=2,59.5,IF(L279=3,45,IF(L279=4,32.5,IF(L279=5,30,IF(L279=6,27.5,IF(L279=7,25,IF(L279=8,22.5,0))))))))+IF(L279&lt;=8,0,IF(L279&lt;=16,19,IF(L279&lt;=24,13,IF(L279&lt;=32,8,0))))-IF(L279&lt;=8,0,IF(L279&lt;=16,(L279-9)*0.425,IF(L279&lt;=24,(L279-17)*0.425,IF(L279&lt;=32,(L279-25)*0.425,0)))),0)+IF(F279="EČ",IF(L279=1,204,IF(L279=2,156.24,IF(L279=3,123.84,IF(L279=4,72,IF(L279=5,66,IF(L279=6,60,IF(L279=7,54,IF(L279=8,48,0))))))))+IF(L279&lt;=8,0,IF(L279&lt;=16,40,IF(L279&lt;=24,25,0)))-IF(L279&lt;=8,0,IF(L279&lt;=16,(L279-9)*1.02,IF(L279&lt;=24,(L279-17)*1.02,0))),0)+IF(F279="EČneol",IF(L279=1,68,IF(L279=2,51.69,IF(L279=3,40.61,IF(L279=4,13,IF(L279=5,12,IF(L279=6,11,IF(L279=7,10,IF(L279=8,9,0)))))))))+IF(F279="EŽ",IF(L279=1,68,IF(L279=2,47.6,IF(L279=3,36,IF(L279=4,18,IF(L279=5,16.5,IF(L279=6,15,IF(L279=7,13.5,IF(L279=8,12,0))))))))+IF(L279&lt;=8,0,IF(L279&lt;=16,10,IF(L279&lt;=24,6,0)))-IF(L279&lt;=8,0,IF(L279&lt;=16,(L279-9)*0.34,IF(L279&lt;=24,(L279-17)*0.34,0))),0)+IF(F279="PT",IF(L279=1,68,IF(L279=2,52.08,IF(L279=3,41.28,IF(L279=4,24,IF(L279=5,22,IF(L279=6,20,IF(L279=7,18,IF(L279=8,16,0))))))))+IF(L279&lt;=8,0,IF(L279&lt;=16,13,IF(L279&lt;=24,9,IF(L279&lt;=32,4,0))))-IF(L279&lt;=8,0,IF(L279&lt;=16,(L279-9)*0.34,IF(L279&lt;=24,(L279-17)*0.34,IF(L279&lt;=32,(L279-25)*0.34,0)))),0)+IF(F279="JOŽ",IF(L279=1,85,IF(L279=2,59.5,IF(L279=3,45,IF(L279=4,32.5,IF(L279=5,30,IF(L279=6,27.5,IF(L279=7,25,IF(L279=8,22.5,0))))))))+IF(L279&lt;=8,0,IF(L279&lt;=16,19,IF(L279&lt;=24,13,0)))-IF(L279&lt;=8,0,IF(L279&lt;=16,(L279-9)*0.425,IF(L279&lt;=24,(L279-17)*0.425,0))),0)+IF(F279="JPČ",IF(L279=1,68,IF(L279=2,47.6,IF(L279=3,36,IF(L279=4,26,IF(L279=5,24,IF(L279=6,22,IF(L279=7,20,IF(L279=8,18,0))))))))+IF(L279&lt;=8,0,IF(L279&lt;=16,13,IF(L279&lt;=24,9,0)))-IF(L279&lt;=8,0,IF(L279&lt;=16,(L279-9)*0.34,IF(L279&lt;=24,(L279-17)*0.34,0))),0)+IF(F279="JEČ",IF(L279=1,34,IF(L279=2,26.04,IF(L279=3,20.6,IF(L279=4,12,IF(L279=5,11,IF(L279=6,10,IF(L279=7,9,IF(L279=8,8,0))))))))+IF(L279&lt;=8,0,IF(L279&lt;=16,6,0))-IF(L279&lt;=8,0,IF(L279&lt;=16,(L279-9)*0.17,0)),0)+IF(F279="JEOF",IF(L279=1,34,IF(L279=2,26.04,IF(L279=3,20.6,IF(L279=4,12,IF(L279=5,11,IF(L279=6,10,IF(L279=7,9,IF(L279=8,8,0))))))))+IF(L279&lt;=8,0,IF(L279&lt;=16,6,0))-IF(L279&lt;=8,0,IF(L279&lt;=16,(L279-9)*0.17,0)),0)+IF(F279="JnPČ",IF(L279=1,51,IF(L279=2,35.7,IF(L279=3,27,IF(L279=4,19.5,IF(L279=5,18,IF(L279=6,16.5,IF(L279=7,15,IF(L279=8,13.5,0))))))))+IF(L279&lt;=8,0,IF(L279&lt;=16,10,0))-IF(L279&lt;=8,0,IF(L279&lt;=16,(L279-9)*0.255,0)),0)+IF(F279="JnEČ",IF(L279=1,25.5,IF(L279=2,19.53,IF(L279=3,15.48,IF(L279=4,9,IF(L279=5,8.25,IF(L279=6,7.5,IF(L279=7,6.75,IF(L279=8,6,0))))))))+IF(L279&lt;=8,0,IF(L279&lt;=16,5,0))-IF(L279&lt;=8,0,IF(L279&lt;=16,(L279-9)*0.1275,0)),0)+IF(F279="JčPČ",IF(L279=1,21.25,IF(L279=2,14.5,IF(L279=3,11.5,IF(L279=4,7,IF(L279=5,6.5,IF(L279=6,6,IF(L279=7,5.5,IF(L279=8,5,0))))))))+IF(L279&lt;=8,0,IF(L279&lt;=16,4,0))-IF(L279&lt;=8,0,IF(L279&lt;=16,(L279-9)*0.10625,0)),0)+IF(F279="JčEČ",IF(L279=1,17,IF(L279=2,13.02,IF(L279=3,10.32,IF(L279=4,6,IF(L279=5,5.5,IF(L279=6,5,IF(L279=7,4.5,IF(L279=8,4,0))))))))+IF(L279&lt;=8,0,IF(L279&lt;=16,3,0))-IF(L279&lt;=8,0,IF(L279&lt;=16,(L279-9)*0.085,0)),0)+IF(F279="NEAK",IF(L279=1,11.48,IF(L279=2,8.79,IF(L279=3,6.97,IF(L279=4,4.05,IF(L279=5,3.71,IF(L279=6,3.38,IF(L279=7,3.04,IF(L279=8,2.7,0))))))))+IF(L279&lt;=8,0,IF(L279&lt;=16,2,IF(L279&lt;=24,1.3,0)))-IF(L279&lt;=8,0,IF(L279&lt;=16,(L279-9)*0.0574,IF(L279&lt;=24,(L279-17)*0.0574,0))),0))*IF(L279&lt;0,1,IF(OR(F279="PČ",F279="PŽ",F279="PT"),IF(J279&lt;32,J279/32,1),1))* IF(L279&lt;0,1,IF(OR(F279="EČ",F279="EŽ",F279="JOŽ",F279="JPČ",F279="NEAK"),IF(J279&lt;24,J279/24,1),1))*IF(L279&lt;0,1,IF(OR(F279="PČneol",F279="JEČ",F279="JEOF",F279="JnPČ",F279="JnEČ",F279="JčPČ",F279="JčEČ"),IF(J279&lt;16,J279/16,1),1))*IF(L279&lt;0,1,IF(F279="EČneol",IF(J279&lt;8,J279/8,1),1))</f>
        <v>0</v>
      </c>
      <c r="O279" s="9">
        <f t="shared" ref="O279:O286" si="126">IF(F279="OŽ",N279,IF(H279="Ne",IF(J279*0.3&lt;J279-L279,N279,0),IF(J279*0.1&lt;J279-L279,N279,0)))</f>
        <v>0</v>
      </c>
      <c r="P279" s="4">
        <f t="shared" si="122"/>
        <v>0</v>
      </c>
      <c r="Q279" s="11">
        <f t="shared" si="123"/>
        <v>0</v>
      </c>
      <c r="R279" s="10">
        <f t="shared" ref="R279:R286" si="127">IF(Q279&lt;=30,O279+P279,O279+O279*0.3)*IF(G279=1,0.4,IF(G279=2,0.75,IF(G279="1 (kas 4 m. 1 k. nerengiamos)",0.52,1)))*IF(D279="olimpinė",1,IF(M279="Ne",0.5,1))*IF(OR(A$5="Lietuvos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federacija"),IF(OR(J279&lt;8,K279&lt;16),0,1),1)*E279*IF(I279&lt;=1,1,1/I279)*IF(OR(A$5="Lietuvos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80" spans="1:18" s="8" customFormat="1">
      <c r="A280" s="73">
        <v>4</v>
      </c>
      <c r="B280" s="73"/>
      <c r="C280" s="12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3">
        <f t="shared" si="125"/>
        <v>0</v>
      </c>
      <c r="O280" s="9">
        <f t="shared" si="126"/>
        <v>0</v>
      </c>
      <c r="P280" s="4">
        <f t="shared" si="122"/>
        <v>0</v>
      </c>
      <c r="Q280" s="11">
        <f t="shared" si="123"/>
        <v>0</v>
      </c>
      <c r="R280" s="10">
        <f t="shared" si="127"/>
        <v>0</v>
      </c>
    </row>
    <row r="281" spans="1:18" s="8" customFormat="1">
      <c r="A281" s="73">
        <v>5</v>
      </c>
      <c r="B281" s="73"/>
      <c r="C281" s="12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3">
        <f t="shared" si="125"/>
        <v>0</v>
      </c>
      <c r="O281" s="9">
        <f t="shared" si="126"/>
        <v>0</v>
      </c>
      <c r="P281" s="4">
        <f t="shared" si="122"/>
        <v>0</v>
      </c>
      <c r="Q281" s="11">
        <f t="shared" si="123"/>
        <v>0</v>
      </c>
      <c r="R281" s="10">
        <f t="shared" si="127"/>
        <v>0</v>
      </c>
    </row>
    <row r="282" spans="1:18" s="8" customFormat="1">
      <c r="A282" s="73">
        <v>6</v>
      </c>
      <c r="B282" s="73"/>
      <c r="C282" s="12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3">
        <f t="shared" si="125"/>
        <v>0</v>
      </c>
      <c r="O282" s="9">
        <f t="shared" si="126"/>
        <v>0</v>
      </c>
      <c r="P282" s="4">
        <f t="shared" si="122"/>
        <v>0</v>
      </c>
      <c r="Q282" s="11">
        <f t="shared" si="123"/>
        <v>0</v>
      </c>
      <c r="R282" s="10">
        <f t="shared" si="127"/>
        <v>0</v>
      </c>
    </row>
    <row r="283" spans="1:18" s="8" customFormat="1">
      <c r="A283" s="73">
        <v>7</v>
      </c>
      <c r="B283" s="73"/>
      <c r="C283" s="12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3">
        <f t="shared" si="125"/>
        <v>0</v>
      </c>
      <c r="O283" s="9">
        <f t="shared" si="126"/>
        <v>0</v>
      </c>
      <c r="P283" s="4">
        <f t="shared" si="122"/>
        <v>0</v>
      </c>
      <c r="Q283" s="11">
        <f t="shared" si="123"/>
        <v>0</v>
      </c>
      <c r="R283" s="10">
        <f t="shared" si="127"/>
        <v>0</v>
      </c>
    </row>
    <row r="284" spans="1:18" s="8" customFormat="1">
      <c r="A284" s="73">
        <v>8</v>
      </c>
      <c r="B284" s="73"/>
      <c r="C284" s="12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3">
        <f t="shared" si="125"/>
        <v>0</v>
      </c>
      <c r="O284" s="9">
        <f t="shared" si="126"/>
        <v>0</v>
      </c>
      <c r="P284" s="4">
        <f t="shared" si="122"/>
        <v>0</v>
      </c>
      <c r="Q284" s="11">
        <f t="shared" si="123"/>
        <v>0</v>
      </c>
      <c r="R284" s="10">
        <f t="shared" si="127"/>
        <v>0</v>
      </c>
    </row>
    <row r="285" spans="1:18" s="8" customFormat="1">
      <c r="A285" s="73">
        <v>9</v>
      </c>
      <c r="B285" s="73"/>
      <c r="C285" s="12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3">
        <f t="shared" si="125"/>
        <v>0</v>
      </c>
      <c r="O285" s="9">
        <f t="shared" si="126"/>
        <v>0</v>
      </c>
      <c r="P285" s="4">
        <f t="shared" si="122"/>
        <v>0</v>
      </c>
      <c r="Q285" s="11">
        <f t="shared" si="123"/>
        <v>0</v>
      </c>
      <c r="R285" s="10">
        <f t="shared" si="127"/>
        <v>0</v>
      </c>
    </row>
    <row r="286" spans="1:18" s="8" customFormat="1">
      <c r="A286" s="73">
        <v>10</v>
      </c>
      <c r="B286" s="73"/>
      <c r="C286" s="12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3">
        <f t="shared" si="125"/>
        <v>0</v>
      </c>
      <c r="O286" s="9">
        <f t="shared" si="126"/>
        <v>0</v>
      </c>
      <c r="P286" s="4">
        <f t="shared" si="122"/>
        <v>0</v>
      </c>
      <c r="Q286" s="11">
        <f t="shared" si="123"/>
        <v>0</v>
      </c>
      <c r="R286" s="10">
        <f t="shared" si="127"/>
        <v>0</v>
      </c>
    </row>
    <row r="287" spans="1:18" s="8" customFormat="1">
      <c r="A287" s="82" t="s">
        <v>36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4"/>
      <c r="R287" s="10">
        <f>SUM(R277:R286)</f>
        <v>0</v>
      </c>
    </row>
    <row r="288" spans="1:18" s="8" customFormat="1" ht="15.75">
      <c r="A288" s="24" t="s">
        <v>37</v>
      </c>
      <c r="B288" s="2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7"/>
    </row>
    <row r="289" spans="1:18" s="8" customFormat="1">
      <c r="A289" s="49" t="s">
        <v>49</v>
      </c>
      <c r="B289" s="49"/>
      <c r="C289" s="49"/>
      <c r="D289" s="49"/>
      <c r="E289" s="49"/>
      <c r="F289" s="49"/>
      <c r="G289" s="49"/>
      <c r="H289" s="49"/>
      <c r="I289" s="49"/>
      <c r="J289" s="56"/>
      <c r="K289" s="56"/>
      <c r="L289" s="56"/>
      <c r="M289" s="56"/>
      <c r="N289" s="56"/>
      <c r="O289" s="56"/>
      <c r="P289" s="56"/>
      <c r="Q289" s="56"/>
      <c r="R289" s="57"/>
    </row>
    <row r="290" spans="1:18" s="8" customFormat="1">
      <c r="A290" s="49"/>
      <c r="B290" s="49"/>
      <c r="C290" s="49"/>
      <c r="D290" s="49"/>
      <c r="E290" s="49"/>
      <c r="F290" s="49"/>
      <c r="G290" s="49"/>
      <c r="H290" s="49"/>
      <c r="I290" s="49"/>
      <c r="J290" s="56"/>
      <c r="K290" s="56"/>
      <c r="L290" s="56"/>
      <c r="M290" s="56"/>
      <c r="N290" s="56"/>
      <c r="O290" s="56"/>
      <c r="P290" s="56"/>
      <c r="Q290" s="56"/>
      <c r="R290" s="57"/>
    </row>
    <row r="291" spans="1:18" s="8" customFormat="1">
      <c r="A291" s="76" t="s">
        <v>96</v>
      </c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68"/>
    </row>
    <row r="292" spans="1:18" s="8" customFormat="1" ht="18">
      <c r="A292" s="78" t="s">
        <v>27</v>
      </c>
      <c r="B292" s="79"/>
      <c r="C292" s="79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68"/>
    </row>
    <row r="293" spans="1:18" s="8" customFormat="1">
      <c r="A293" s="80" t="s">
        <v>97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68"/>
    </row>
    <row r="294" spans="1:18" s="8" customFormat="1">
      <c r="A294" s="73">
        <v>1</v>
      </c>
      <c r="B294" s="73" t="s">
        <v>98</v>
      </c>
      <c r="C294" s="12" t="s">
        <v>62</v>
      </c>
      <c r="D294" s="73" t="s">
        <v>45</v>
      </c>
      <c r="E294" s="73">
        <v>1</v>
      </c>
      <c r="F294" s="73" t="s">
        <v>66</v>
      </c>
      <c r="G294" s="73">
        <v>1</v>
      </c>
      <c r="H294" s="73" t="s">
        <v>59</v>
      </c>
      <c r="I294" s="73"/>
      <c r="J294" s="73">
        <v>79</v>
      </c>
      <c r="K294" s="73">
        <v>18</v>
      </c>
      <c r="L294" s="73">
        <v>17</v>
      </c>
      <c r="M294" s="73"/>
      <c r="N294" s="3">
        <f t="shared" ref="N294" si="128">(IF(F294="OŽ",IF(L294=1,550.8,IF(L294=2,426.38,IF(L294=3,342.14,IF(L294=4,181.44,IF(L294=5,168.48,IF(L294=6,155.52,IF(L294=7,148.5,IF(L294=8,144,0))))))))+IF(L294&lt;=8,0,IF(L294&lt;=16,137.7,IF(L294&lt;=24,108,IF(L294&lt;=32,80.1,IF(L294&lt;=36,52.2,0)))))-IF(L294&lt;=8,0,IF(L294&lt;=16,(L294-9)*2.754,IF(L294&lt;=24,(L294-17)* 2.754,IF(L294&lt;=32,(L294-25)* 2.754,IF(L294&lt;=36,(L294-33)*2.754,0))))),0)+IF(F294="PČ",IF(L294=1,449,IF(L294=2,314.6,IF(L294=3,238,IF(L294=4,172,IF(L294=5,159,IF(L294=6,145,IF(L294=7,132,IF(L294=8,119,0))))))))+IF(L294&lt;=8,0,IF(L294&lt;=16,88,IF(L294&lt;=24,55,IF(L294&lt;=32,22,0))))-IF(L294&lt;=8,0,IF(L294&lt;=16,(L294-9)*2.245,IF(L294&lt;=24,(L294-17)*2.245,IF(L294&lt;=32,(L294-25)*2.245,0)))),0)+IF(F294="PČneol",IF(L294=1,85,IF(L294=2,64.61,IF(L294=3,50.76,IF(L294=4,16.25,IF(L294=5,15,IF(L294=6,13.75,IF(L294=7,12.5,IF(L294=8,11.25,0))))))))+IF(L294&lt;=8,0,IF(L294&lt;=16,9,0))-IF(L294&lt;=8,0,IF(L294&lt;=16,(L294-9)*0.425,0)),0)+IF(F294="PŽ",IF(L294=1,85,IF(L294=2,59.5,IF(L294=3,45,IF(L294=4,32.5,IF(L294=5,30,IF(L294=6,27.5,IF(L294=7,25,IF(L294=8,22.5,0))))))))+IF(L294&lt;=8,0,IF(L294&lt;=16,19,IF(L294&lt;=24,13,IF(L294&lt;=32,8,0))))-IF(L294&lt;=8,0,IF(L294&lt;=16,(L294-9)*0.425,IF(L294&lt;=24,(L294-17)*0.425,IF(L294&lt;=32,(L294-25)*0.425,0)))),0)+IF(F294="EČ",IF(L294=1,204,IF(L294=2,156.24,IF(L294=3,123.84,IF(L294=4,72,IF(L294=5,66,IF(L294=6,60,IF(L294=7,54,IF(L294=8,48,0))))))))+IF(L294&lt;=8,0,IF(L294&lt;=16,40,IF(L294&lt;=24,25,0)))-IF(L294&lt;=8,0,IF(L294&lt;=16,(L294-9)*1.02,IF(L294&lt;=24,(L294-17)*1.02,0))),0)+IF(F294="EČneol",IF(L294=1,68,IF(L294=2,51.69,IF(L294=3,40.61,IF(L294=4,13,IF(L294=5,12,IF(L294=6,11,IF(L294=7,10,IF(L294=8,9,0)))))))))+IF(F294="EŽ",IF(L294=1,68,IF(L294=2,47.6,IF(L294=3,36,IF(L294=4,18,IF(L294=5,16.5,IF(L294=6,15,IF(L294=7,13.5,IF(L294=8,12,0))))))))+IF(L294&lt;=8,0,IF(L294&lt;=16,10,IF(L294&lt;=24,6,0)))-IF(L294&lt;=8,0,IF(L294&lt;=16,(L294-9)*0.34,IF(L294&lt;=24,(L294-17)*0.34,0))),0)+IF(F294="PT",IF(L294=1,68,IF(L294=2,52.08,IF(L294=3,41.28,IF(L294=4,24,IF(L294=5,22,IF(L294=6,20,IF(L294=7,18,IF(L294=8,16,0))))))))+IF(L294&lt;=8,0,IF(L294&lt;=16,13,IF(L294&lt;=24,9,IF(L294&lt;=32,4,0))))-IF(L294&lt;=8,0,IF(L294&lt;=16,(L294-9)*0.34,IF(L294&lt;=24,(L294-17)*0.34,IF(L294&lt;=32,(L294-25)*0.34,0)))),0)+IF(F294="JOŽ",IF(L294=1,85,IF(L294=2,59.5,IF(L294=3,45,IF(L294=4,32.5,IF(L294=5,30,IF(L294=6,27.5,IF(L294=7,25,IF(L294=8,22.5,0))))))))+IF(L294&lt;=8,0,IF(L294&lt;=16,19,IF(L294&lt;=24,13,0)))-IF(L294&lt;=8,0,IF(L294&lt;=16,(L294-9)*0.425,IF(L294&lt;=24,(L294-17)*0.425,0))),0)+IF(F294="JPČ",IF(L294=1,68,IF(L294=2,47.6,IF(L294=3,36,IF(L294=4,26,IF(L294=5,24,IF(L294=6,22,IF(L294=7,20,IF(L294=8,18,0))))))))+IF(L294&lt;=8,0,IF(L294&lt;=16,13,IF(L294&lt;=24,9,0)))-IF(L294&lt;=8,0,IF(L294&lt;=16,(L294-9)*0.34,IF(L294&lt;=24,(L294-17)*0.34,0))),0)+IF(F294="JEČ",IF(L294=1,34,IF(L294=2,26.04,IF(L294=3,20.6,IF(L294=4,12,IF(L294=5,11,IF(L294=6,10,IF(L294=7,9,IF(L294=8,8,0))))))))+IF(L294&lt;=8,0,IF(L294&lt;=16,6,0))-IF(L294&lt;=8,0,IF(L294&lt;=16,(L294-9)*0.17,0)),0)+IF(F294="JEOF",IF(L294=1,34,IF(L294=2,26.04,IF(L294=3,20.6,IF(L294=4,12,IF(L294=5,11,IF(L294=6,10,IF(L294=7,9,IF(L294=8,8,0))))))))+IF(L294&lt;=8,0,IF(L294&lt;=16,6,0))-IF(L294&lt;=8,0,IF(L294&lt;=16,(L294-9)*0.17,0)),0)+IF(F294="JnPČ",IF(L294=1,51,IF(L294=2,35.7,IF(L294=3,27,IF(L294=4,19.5,IF(L294=5,18,IF(L294=6,16.5,IF(L294=7,15,IF(L294=8,13.5,0))))))))+IF(L294&lt;=8,0,IF(L294&lt;=16,10,0))-IF(L294&lt;=8,0,IF(L294&lt;=16,(L294-9)*0.255,0)),0)+IF(F294="JnEČ",IF(L294=1,25.5,IF(L294=2,19.53,IF(L294=3,15.48,IF(L294=4,9,IF(L294=5,8.25,IF(L294=6,7.5,IF(L294=7,6.75,IF(L294=8,6,0))))))))+IF(L294&lt;=8,0,IF(L294&lt;=16,5,0))-IF(L294&lt;=8,0,IF(L294&lt;=16,(L294-9)*0.1275,0)),0)+IF(F294="JčPČ",IF(L294=1,21.25,IF(L294=2,14.5,IF(L294=3,11.5,IF(L294=4,7,IF(L294=5,6.5,IF(L294=6,6,IF(L294=7,5.5,IF(L294=8,5,0))))))))+IF(L294&lt;=8,0,IF(L294&lt;=16,4,0))-IF(L294&lt;=8,0,IF(L294&lt;=16,(L294-9)*0.10625,0)),0)+IF(F294="JčEČ",IF(L294=1,17,IF(L294=2,13.02,IF(L294=3,10.32,IF(L294=4,6,IF(L294=5,5.5,IF(L294=6,5,IF(L294=7,4.5,IF(L294=8,4,0))))))))+IF(L294&lt;=8,0,IF(L294&lt;=16,3,0))-IF(L294&lt;=8,0,IF(L294&lt;=16,(L294-9)*0.085,0)),0)+IF(F294="NEAK",IF(L294=1,11.48,IF(L294=2,8.79,IF(L294=3,6.97,IF(L294=4,4.05,IF(L294=5,3.71,IF(L294=6,3.38,IF(L294=7,3.04,IF(L294=8,2.7,0))))))))+IF(L294&lt;=8,0,IF(L294&lt;=16,2,IF(L294&lt;=24,1.3,0)))-IF(L294&lt;=8,0,IF(L294&lt;=16,(L294-9)*0.0574,IF(L294&lt;=24,(L294-17)*0.0574,0))),0))*IF(L294&lt;4,1,IF(OR(F294="PČ",F294="PŽ",F294="PT"),IF(J294&lt;32,J294/32,1),1))* IF(L294&lt;4,1,IF(OR(F294="EČ",F294="EŽ",F294="JOŽ",F294="JPČ",F294="NEAK"),IF(J294&lt;24,J294/24,1),1))*IF(L294&lt;4,1,IF(OR(F294="PČneol",F294="JEČ",F294="JEOF",F294="JnPČ",F294="JnEČ",F294="JčPČ",F294="JčEČ"),IF(J294&lt;16,J294/16,1),1))*IF(L294&lt;4,1,IF(F294="EČneol",IF(J294&lt;8,J294/8,1),1))</f>
        <v>0</v>
      </c>
      <c r="O294" s="9">
        <f t="shared" ref="O294" si="129">IF(F294="OŽ",N294,IF(H294="Ne",IF(J294*0.3&lt;=J294-L294,N294,0),IF(J294*0.1&lt;=J294-L294,N294,0)))</f>
        <v>0</v>
      </c>
      <c r="P294" s="4">
        <f t="shared" ref="P294:P303" si="130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3" si="131">IF(ISERROR(P294*100/N294),0,(P294*100/N294))</f>
        <v>0</v>
      </c>
      <c r="R294" s="10">
        <f t="shared" ref="R294" si="132">IF(Q294&lt;=30,O294+P294,O294+O294*0.3)*IF(G294=1,0.4,IF(G294=2,0.75,IF(G294="1 (kas 4 m. 1 k. nerengiamos)",0.52,1)))*IF(D294="olimpinė",1,IF(M294="Ne",0.5,1))*IF(D294="olimpinė",1,IF(J294&lt;8,0,1))*E294*IF(D294="olimpinė",1,IF(K294&lt;16,0,1))*IF(I294&lt;=1,1,1/I294)*IF(OR(A$5="Lietuvos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5" spans="1:18" s="8" customFormat="1">
      <c r="A295" s="73">
        <v>2</v>
      </c>
      <c r="B295" s="73"/>
      <c r="C295" s="12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3">
        <f t="shared" ref="N295:N303" si="133">(IF(F295="OŽ",IF(L295=1,550.8,IF(L295=2,426.38,IF(L295=3,342.14,IF(L295=4,181.44,IF(L295=5,168.48,IF(L295=6,155.52,IF(L295=7,148.5,IF(L295=8,144,0))))))))+IF(L295&lt;=8,0,IF(L295&lt;=16,137.7,IF(L295&lt;=24,108,IF(L295&lt;=32,80.1,IF(L295&lt;=36,52.2,0)))))-IF(L295&lt;=8,0,IF(L295&lt;=16,(L295-9)*2.754,IF(L295&lt;=24,(L295-17)* 2.754,IF(L295&lt;=32,(L295-25)* 2.754,IF(L295&lt;=36,(L295-33)*2.754,0))))),0)+IF(F295="PČ",IF(L295=1,449,IF(L295=2,314.6,IF(L295=3,238,IF(L295=4,172,IF(L295=5,159,IF(L295=6,145,IF(L295=7,132,IF(L295=8,119,0))))))))+IF(L295&lt;=8,0,IF(L295&lt;=16,88,IF(L295&lt;=24,55,IF(L295&lt;=32,22,0))))-IF(L295&lt;=8,0,IF(L295&lt;=16,(L295-9)*2.245,IF(L295&lt;=24,(L295-17)*2.245,IF(L295&lt;=32,(L295-25)*2.245,0)))),0)+IF(F295="PČneol",IF(L295=1,85,IF(L295=2,64.61,IF(L295=3,50.76,IF(L295=4,16.25,IF(L295=5,15,IF(L295=6,13.75,IF(L295=7,12.5,IF(L295=8,11.25,0))))))))+IF(L295&lt;=8,0,IF(L295&lt;=16,9,0))-IF(L295&lt;=8,0,IF(L295&lt;=16,(L295-9)*0.425,0)),0)+IF(F295="PŽ",IF(L295=1,85,IF(L295=2,59.5,IF(L295=3,45,IF(L295=4,32.5,IF(L295=5,30,IF(L295=6,27.5,IF(L295=7,25,IF(L295=8,22.5,0))))))))+IF(L295&lt;=8,0,IF(L295&lt;=16,19,IF(L295&lt;=24,13,IF(L295&lt;=32,8,0))))-IF(L295&lt;=8,0,IF(L295&lt;=16,(L295-9)*0.425,IF(L295&lt;=24,(L295-17)*0.425,IF(L295&lt;=32,(L295-25)*0.425,0)))),0)+IF(F295="EČ",IF(L295=1,204,IF(L295=2,156.24,IF(L295=3,123.84,IF(L295=4,72,IF(L295=5,66,IF(L295=6,60,IF(L295=7,54,IF(L295=8,48,0))))))))+IF(L295&lt;=8,0,IF(L295&lt;=16,40,IF(L295&lt;=24,25,0)))-IF(L295&lt;=8,0,IF(L295&lt;=16,(L295-9)*1.02,IF(L295&lt;=24,(L295-17)*1.02,0))),0)+IF(F295="EČneol",IF(L295=1,68,IF(L295=2,51.69,IF(L295=3,40.61,IF(L295=4,13,IF(L295=5,12,IF(L295=6,11,IF(L295=7,10,IF(L295=8,9,0)))))))))+IF(F295="EŽ",IF(L295=1,68,IF(L295=2,47.6,IF(L295=3,36,IF(L295=4,18,IF(L295=5,16.5,IF(L295=6,15,IF(L295=7,13.5,IF(L295=8,12,0))))))))+IF(L295&lt;=8,0,IF(L295&lt;=16,10,IF(L295&lt;=24,6,0)))-IF(L295&lt;=8,0,IF(L295&lt;=16,(L295-9)*0.34,IF(L295&lt;=24,(L295-17)*0.34,0))),0)+IF(F295="PT",IF(L295=1,68,IF(L295=2,52.08,IF(L295=3,41.28,IF(L295=4,24,IF(L295=5,22,IF(L295=6,20,IF(L295=7,18,IF(L295=8,16,0))))))))+IF(L295&lt;=8,0,IF(L295&lt;=16,13,IF(L295&lt;=24,9,IF(L295&lt;=32,4,0))))-IF(L295&lt;=8,0,IF(L295&lt;=16,(L295-9)*0.34,IF(L295&lt;=24,(L295-17)*0.34,IF(L295&lt;=32,(L295-25)*0.34,0)))),0)+IF(F295="JOŽ",IF(L295=1,85,IF(L295=2,59.5,IF(L295=3,45,IF(L295=4,32.5,IF(L295=5,30,IF(L295=6,27.5,IF(L295=7,25,IF(L295=8,22.5,0))))))))+IF(L295&lt;=8,0,IF(L295&lt;=16,19,IF(L295&lt;=24,13,0)))-IF(L295&lt;=8,0,IF(L295&lt;=16,(L295-9)*0.425,IF(L295&lt;=24,(L295-17)*0.425,0))),0)+IF(F295="JPČ",IF(L295=1,68,IF(L295=2,47.6,IF(L295=3,36,IF(L295=4,26,IF(L295=5,24,IF(L295=6,22,IF(L295=7,20,IF(L295=8,18,0))))))))+IF(L295&lt;=8,0,IF(L295&lt;=16,13,IF(L295&lt;=24,9,0)))-IF(L295&lt;=8,0,IF(L295&lt;=16,(L295-9)*0.34,IF(L295&lt;=24,(L295-17)*0.34,0))),0)+IF(F295="JEČ",IF(L295=1,34,IF(L295=2,26.04,IF(L295=3,20.6,IF(L295=4,12,IF(L295=5,11,IF(L295=6,10,IF(L295=7,9,IF(L295=8,8,0))))))))+IF(L295&lt;=8,0,IF(L295&lt;=16,6,0))-IF(L295&lt;=8,0,IF(L295&lt;=16,(L295-9)*0.17,0)),0)+IF(F295="JEOF",IF(L295=1,34,IF(L295=2,26.04,IF(L295=3,20.6,IF(L295=4,12,IF(L295=5,11,IF(L295=6,10,IF(L295=7,9,IF(L295=8,8,0))))))))+IF(L295&lt;=8,0,IF(L295&lt;=16,6,0))-IF(L295&lt;=8,0,IF(L295&lt;=16,(L295-9)*0.17,0)),0)+IF(F295="JnPČ",IF(L295=1,51,IF(L295=2,35.7,IF(L295=3,27,IF(L295=4,19.5,IF(L295=5,18,IF(L295=6,16.5,IF(L295=7,15,IF(L295=8,13.5,0))))))))+IF(L295&lt;=8,0,IF(L295&lt;=16,10,0))-IF(L295&lt;=8,0,IF(L295&lt;=16,(L295-9)*0.255,0)),0)+IF(F295="JnEČ",IF(L295=1,25.5,IF(L295=2,19.53,IF(L295=3,15.48,IF(L295=4,9,IF(L295=5,8.25,IF(L295=6,7.5,IF(L295=7,6.75,IF(L295=8,6,0))))))))+IF(L295&lt;=8,0,IF(L295&lt;=16,5,0))-IF(L295&lt;=8,0,IF(L295&lt;=16,(L295-9)*0.1275,0)),0)+IF(F295="JčPČ",IF(L295=1,21.25,IF(L295=2,14.5,IF(L295=3,11.5,IF(L295=4,7,IF(L295=5,6.5,IF(L295=6,6,IF(L295=7,5.5,IF(L295=8,5,0))))))))+IF(L295&lt;=8,0,IF(L295&lt;=16,4,0))-IF(L295&lt;=8,0,IF(L295&lt;=16,(L295-9)*0.10625,0)),0)+IF(F295="JčEČ",IF(L295=1,17,IF(L295=2,13.02,IF(L295=3,10.32,IF(L295=4,6,IF(L295=5,5.5,IF(L295=6,5,IF(L295=7,4.5,IF(L295=8,4,0))))))))+IF(L295&lt;=8,0,IF(L295&lt;=16,3,0))-IF(L295&lt;=8,0,IF(L295&lt;=16,(L295-9)*0.085,0)),0)+IF(F295="NEAK",IF(L295=1,11.48,IF(L295=2,8.79,IF(L295=3,6.97,IF(L295=4,4.05,IF(L295=5,3.71,IF(L295=6,3.38,IF(L295=7,3.04,IF(L295=8,2.7,0))))))))+IF(L295&lt;=8,0,IF(L295&lt;=16,2,IF(L295&lt;=24,1.3,0)))-IF(L295&lt;=8,0,IF(L295&lt;=16,(L295-9)*0.0574,IF(L295&lt;=24,(L295-17)*0.0574,0))),0))*IF(L295&lt;0,1,IF(OR(F295="PČ",F295="PŽ",F295="PT"),IF(J295&lt;32,J295/32,1),1))* IF(L295&lt;0,1,IF(OR(F295="EČ",F295="EŽ",F295="JOŽ",F295="JPČ",F295="NEAK"),IF(J295&lt;24,J295/24,1),1))*IF(L295&lt;0,1,IF(OR(F295="PČneol",F295="JEČ",F295="JEOF",F295="JnPČ",F295="JnEČ",F295="JčPČ",F295="JčEČ"),IF(J295&lt;16,J295/16,1),1))*IF(L295&lt;0,1,IF(F295="EČneol",IF(J295&lt;8,J295/8,1),1))</f>
        <v>0</v>
      </c>
      <c r="O295" s="9">
        <f t="shared" ref="O295:O303" si="134">IF(F295="OŽ",N295,IF(H295="Ne",IF(J295*0.3&lt;J295-L295,N295,0),IF(J295*0.1&lt;J295-L295,N295,0)))</f>
        <v>0</v>
      </c>
      <c r="P295" s="4">
        <f t="shared" si="130"/>
        <v>0</v>
      </c>
      <c r="Q295" s="11">
        <f t="shared" si="131"/>
        <v>0</v>
      </c>
      <c r="R295" s="10">
        <f t="shared" ref="R295:R303" si="135">IF(Q295&lt;=30,O295+P295,O295+O295*0.3)*IF(G295=1,0.4,IF(G295=2,0.75,IF(G295="1 (kas 4 m. 1 k. nerengiamos)",0.52,1)))*IF(D295="olimpinė",1,IF(M295="Ne",0.5,1))*IF(OR(A$5="Lietuvos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federacija"),IF(OR(J295&lt;8,K295&lt;16),0,1),1)*E295*IF(I295&lt;=1,1,1/I295)*IF(OR(A$5="Lietuvos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6" spans="1:18" s="8" customFormat="1">
      <c r="A296" s="73">
        <v>3</v>
      </c>
      <c r="B296" s="73"/>
      <c r="C296" s="12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3">
        <f t="shared" si="133"/>
        <v>0</v>
      </c>
      <c r="O296" s="9">
        <f t="shared" si="134"/>
        <v>0</v>
      </c>
      <c r="P296" s="4">
        <f t="shared" si="130"/>
        <v>0</v>
      </c>
      <c r="Q296" s="11">
        <f t="shared" si="131"/>
        <v>0</v>
      </c>
      <c r="R296" s="10">
        <f t="shared" si="135"/>
        <v>0</v>
      </c>
    </row>
    <row r="297" spans="1:18" s="8" customFormat="1">
      <c r="A297" s="73">
        <v>4</v>
      </c>
      <c r="B297" s="73"/>
      <c r="C297" s="12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3">
        <f t="shared" si="133"/>
        <v>0</v>
      </c>
      <c r="O297" s="9">
        <f t="shared" si="134"/>
        <v>0</v>
      </c>
      <c r="P297" s="4">
        <f t="shared" si="130"/>
        <v>0</v>
      </c>
      <c r="Q297" s="11">
        <f t="shared" si="131"/>
        <v>0</v>
      </c>
      <c r="R297" s="10">
        <f t="shared" si="135"/>
        <v>0</v>
      </c>
    </row>
    <row r="298" spans="1:18" s="8" customFormat="1">
      <c r="A298" s="73">
        <v>5</v>
      </c>
      <c r="B298" s="73"/>
      <c r="C298" s="12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3">
        <f t="shared" si="133"/>
        <v>0</v>
      </c>
      <c r="O298" s="9">
        <f t="shared" si="134"/>
        <v>0</v>
      </c>
      <c r="P298" s="4">
        <f t="shared" si="130"/>
        <v>0</v>
      </c>
      <c r="Q298" s="11">
        <f t="shared" si="131"/>
        <v>0</v>
      </c>
      <c r="R298" s="10">
        <f t="shared" si="135"/>
        <v>0</v>
      </c>
    </row>
    <row r="299" spans="1:18" s="8" customFormat="1">
      <c r="A299" s="73">
        <v>6</v>
      </c>
      <c r="B299" s="73"/>
      <c r="C299" s="12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3">
        <f t="shared" si="133"/>
        <v>0</v>
      </c>
      <c r="O299" s="9">
        <f t="shared" si="134"/>
        <v>0</v>
      </c>
      <c r="P299" s="4">
        <f t="shared" si="130"/>
        <v>0</v>
      </c>
      <c r="Q299" s="11">
        <f t="shared" si="131"/>
        <v>0</v>
      </c>
      <c r="R299" s="10">
        <f t="shared" si="135"/>
        <v>0</v>
      </c>
    </row>
    <row r="300" spans="1:18" s="8" customFormat="1">
      <c r="A300" s="73">
        <v>7</v>
      </c>
      <c r="B300" s="73"/>
      <c r="C300" s="12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3">
        <f t="shared" si="133"/>
        <v>0</v>
      </c>
      <c r="O300" s="9">
        <f t="shared" si="134"/>
        <v>0</v>
      </c>
      <c r="P300" s="4">
        <f t="shared" si="130"/>
        <v>0</v>
      </c>
      <c r="Q300" s="11">
        <f t="shared" si="131"/>
        <v>0</v>
      </c>
      <c r="R300" s="10">
        <f t="shared" si="135"/>
        <v>0</v>
      </c>
    </row>
    <row r="301" spans="1:18" s="8" customFormat="1">
      <c r="A301" s="73">
        <v>8</v>
      </c>
      <c r="B301" s="73"/>
      <c r="C301" s="12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3">
        <f t="shared" si="133"/>
        <v>0</v>
      </c>
      <c r="O301" s="9">
        <f t="shared" si="134"/>
        <v>0</v>
      </c>
      <c r="P301" s="4">
        <f t="shared" si="130"/>
        <v>0</v>
      </c>
      <c r="Q301" s="11">
        <f t="shared" si="131"/>
        <v>0</v>
      </c>
      <c r="R301" s="10">
        <f t="shared" si="135"/>
        <v>0</v>
      </c>
    </row>
    <row r="302" spans="1:18" s="8" customFormat="1">
      <c r="A302" s="73">
        <v>9</v>
      </c>
      <c r="B302" s="73"/>
      <c r="C302" s="12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3">
        <f t="shared" si="133"/>
        <v>0</v>
      </c>
      <c r="O302" s="9">
        <f t="shared" si="134"/>
        <v>0</v>
      </c>
      <c r="P302" s="4">
        <f t="shared" si="130"/>
        <v>0</v>
      </c>
      <c r="Q302" s="11">
        <f t="shared" si="131"/>
        <v>0</v>
      </c>
      <c r="R302" s="10">
        <f t="shared" si="135"/>
        <v>0</v>
      </c>
    </row>
    <row r="303" spans="1:18" s="8" customFormat="1">
      <c r="A303" s="73">
        <v>10</v>
      </c>
      <c r="B303" s="73"/>
      <c r="C303" s="12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3">
        <f t="shared" si="133"/>
        <v>0</v>
      </c>
      <c r="O303" s="9">
        <f t="shared" si="134"/>
        <v>0</v>
      </c>
      <c r="P303" s="4">
        <f t="shared" si="130"/>
        <v>0</v>
      </c>
      <c r="Q303" s="11">
        <f t="shared" si="131"/>
        <v>0</v>
      </c>
      <c r="R303" s="10">
        <f t="shared" si="135"/>
        <v>0</v>
      </c>
    </row>
    <row r="304" spans="1:18" s="8" customFormat="1">
      <c r="A304" s="82" t="s">
        <v>36</v>
      </c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4"/>
      <c r="R304" s="10">
        <f>SUM(R294:R303)</f>
        <v>0</v>
      </c>
    </row>
    <row r="305" spans="1:18" s="8" customFormat="1" ht="15.75">
      <c r="A305" s="24" t="s">
        <v>37</v>
      </c>
      <c r="B305" s="24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7"/>
    </row>
    <row r="306" spans="1:18" s="8" customFormat="1">
      <c r="A306" s="49" t="s">
        <v>49</v>
      </c>
      <c r="B306" s="49"/>
      <c r="C306" s="49"/>
      <c r="D306" s="49"/>
      <c r="E306" s="49"/>
      <c r="F306" s="49"/>
      <c r="G306" s="49"/>
      <c r="H306" s="49"/>
      <c r="I306" s="49"/>
      <c r="J306" s="56"/>
      <c r="K306" s="56"/>
      <c r="L306" s="56"/>
      <c r="M306" s="56"/>
      <c r="N306" s="56"/>
      <c r="O306" s="56"/>
      <c r="P306" s="56"/>
      <c r="Q306" s="56"/>
      <c r="R306" s="57"/>
    </row>
    <row r="307" spans="1:18" s="8" customFormat="1">
      <c r="A307" s="49"/>
      <c r="B307" s="49"/>
      <c r="C307" s="49"/>
      <c r="D307" s="49"/>
      <c r="E307" s="49"/>
      <c r="F307" s="49"/>
      <c r="G307" s="49"/>
      <c r="H307" s="49"/>
      <c r="I307" s="49"/>
      <c r="J307" s="56"/>
      <c r="K307" s="56"/>
      <c r="L307" s="56"/>
      <c r="M307" s="56"/>
      <c r="N307" s="56"/>
      <c r="O307" s="56"/>
      <c r="P307" s="56"/>
      <c r="Q307" s="56"/>
      <c r="R307" s="57"/>
    </row>
    <row r="308" spans="1:18" s="8" customFormat="1" ht="13.9" customHeight="1">
      <c r="A308" s="76" t="s">
        <v>99</v>
      </c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68"/>
    </row>
    <row r="309" spans="1:18" s="8" customFormat="1" ht="16.899999999999999" customHeight="1">
      <c r="A309" s="78" t="s">
        <v>27</v>
      </c>
      <c r="B309" s="79"/>
      <c r="C309" s="79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68"/>
    </row>
    <row r="310" spans="1:18" s="8" customFormat="1" ht="15.6" customHeight="1">
      <c r="A310" s="80" t="s">
        <v>100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68"/>
    </row>
    <row r="311" spans="1:18" s="8" customFormat="1" ht="13.9" customHeight="1">
      <c r="A311" s="73">
        <v>1</v>
      </c>
      <c r="B311" s="73" t="s">
        <v>101</v>
      </c>
      <c r="C311" s="12">
        <v>420</v>
      </c>
      <c r="D311" s="73" t="s">
        <v>45</v>
      </c>
      <c r="E311" s="73">
        <v>2</v>
      </c>
      <c r="F311" s="73" t="s">
        <v>102</v>
      </c>
      <c r="G311" s="73">
        <v>1</v>
      </c>
      <c r="H311" s="73" t="s">
        <v>59</v>
      </c>
      <c r="I311" s="73"/>
      <c r="J311" s="73">
        <v>30</v>
      </c>
      <c r="K311" s="73">
        <v>30</v>
      </c>
      <c r="L311" s="73">
        <v>30</v>
      </c>
      <c r="M311" s="73"/>
      <c r="N311" s="3">
        <f t="shared" ref="N311:N315" si="136">(IF(F311="OŽ",IF(L311=1,550.8,IF(L311=2,426.38,IF(L311=3,342.14,IF(L311=4,181.44,IF(L311=5,168.48,IF(L311=6,155.52,IF(L311=7,148.5,IF(L311=8,144,0))))))))+IF(L311&lt;=8,0,IF(L311&lt;=16,137.7,IF(L311&lt;=24,108,IF(L311&lt;=32,80.1,IF(L311&lt;=36,52.2,0)))))-IF(L311&lt;=8,0,IF(L311&lt;=16,(L311-9)*2.754,IF(L311&lt;=24,(L311-17)* 2.754,IF(L311&lt;=32,(L311-25)* 2.754,IF(L311&lt;=36,(L311-33)*2.754,0))))),0)+IF(F311="PČ",IF(L311=1,449,IF(L311=2,314.6,IF(L311=3,238,IF(L311=4,172,IF(L311=5,159,IF(L311=6,145,IF(L311=7,132,IF(L311=8,119,0))))))))+IF(L311&lt;=8,0,IF(L311&lt;=16,88,IF(L311&lt;=24,55,IF(L311&lt;=32,22,0))))-IF(L311&lt;=8,0,IF(L311&lt;=16,(L311-9)*2.245,IF(L311&lt;=24,(L311-17)*2.245,IF(L311&lt;=32,(L311-25)*2.245,0)))),0)+IF(F311="PČneol",IF(L311=1,85,IF(L311=2,64.61,IF(L311=3,50.76,IF(L311=4,16.25,IF(L311=5,15,IF(L311=6,13.75,IF(L311=7,12.5,IF(L311=8,11.25,0))))))))+IF(L311&lt;=8,0,IF(L311&lt;=16,9,0))-IF(L311&lt;=8,0,IF(L311&lt;=16,(L311-9)*0.425,0)),0)+IF(F311="PŽ",IF(L311=1,85,IF(L311=2,59.5,IF(L311=3,45,IF(L311=4,32.5,IF(L311=5,30,IF(L311=6,27.5,IF(L311=7,25,IF(L311=8,22.5,0))))))))+IF(L311&lt;=8,0,IF(L311&lt;=16,19,IF(L311&lt;=24,13,IF(L311&lt;=32,8,0))))-IF(L311&lt;=8,0,IF(L311&lt;=16,(L311-9)*0.425,IF(L311&lt;=24,(L311-17)*0.425,IF(L311&lt;=32,(L311-25)*0.425,0)))),0)+IF(F311="EČ",IF(L311=1,204,IF(L311=2,156.24,IF(L311=3,123.84,IF(L311=4,72,IF(L311=5,66,IF(L311=6,60,IF(L311=7,54,IF(L311=8,48,0))))))))+IF(L311&lt;=8,0,IF(L311&lt;=16,40,IF(L311&lt;=24,25,0)))-IF(L311&lt;=8,0,IF(L311&lt;=16,(L311-9)*1.02,IF(L311&lt;=24,(L311-17)*1.02,0))),0)+IF(F311="EČneol",IF(L311=1,68,IF(L311=2,51.69,IF(L311=3,40.61,IF(L311=4,13,IF(L311=5,12,IF(L311=6,11,IF(L311=7,10,IF(L311=8,9,0)))))))))+IF(F311="EŽ",IF(L311=1,68,IF(L311=2,47.6,IF(L311=3,36,IF(L311=4,18,IF(L311=5,16.5,IF(L311=6,15,IF(L311=7,13.5,IF(L311=8,12,0))))))))+IF(L311&lt;=8,0,IF(L311&lt;=16,10,IF(L311&lt;=24,6,0)))-IF(L311&lt;=8,0,IF(L311&lt;=16,(L311-9)*0.34,IF(L311&lt;=24,(L311-17)*0.34,0))),0)+IF(F311="PT",IF(L311=1,68,IF(L311=2,52.08,IF(L311=3,41.28,IF(L311=4,24,IF(L311=5,22,IF(L311=6,20,IF(L311=7,18,IF(L311=8,16,0))))))))+IF(L311&lt;=8,0,IF(L311&lt;=16,13,IF(L311&lt;=24,9,IF(L311&lt;=32,4,0))))-IF(L311&lt;=8,0,IF(L311&lt;=16,(L311-9)*0.34,IF(L311&lt;=24,(L311-17)*0.34,IF(L311&lt;=32,(L311-25)*0.34,0)))),0)+IF(F311="JOŽ",IF(L311=1,85,IF(L311=2,59.5,IF(L311=3,45,IF(L311=4,32.5,IF(L311=5,30,IF(L311=6,27.5,IF(L311=7,25,IF(L311=8,22.5,0))))))))+IF(L311&lt;=8,0,IF(L311&lt;=16,19,IF(L311&lt;=24,13,0)))-IF(L311&lt;=8,0,IF(L311&lt;=16,(L311-9)*0.425,IF(L311&lt;=24,(L311-17)*0.425,0))),0)+IF(F311="JPČ",IF(L311=1,68,IF(L311=2,47.6,IF(L311=3,36,IF(L311=4,26,IF(L311=5,24,IF(L311=6,22,IF(L311=7,20,IF(L311=8,18,0))))))))+IF(L311&lt;=8,0,IF(L311&lt;=16,13,IF(L311&lt;=24,9,0)))-IF(L311&lt;=8,0,IF(L311&lt;=16,(L311-9)*0.34,IF(L311&lt;=24,(L311-17)*0.34,0))),0)+IF(F311="JEČ",IF(L311=1,34,IF(L311=2,26.04,IF(L311=3,20.6,IF(L311=4,12,IF(L311=5,11,IF(L311=6,10,IF(L311=7,9,IF(L311=8,8,0))))))))+IF(L311&lt;=8,0,IF(L311&lt;=16,6,0))-IF(L311&lt;=8,0,IF(L311&lt;=16,(L311-9)*0.17,0)),0)+IF(F311="JEOF",IF(L311=1,34,IF(L311=2,26.04,IF(L311=3,20.6,IF(L311=4,12,IF(L311=5,11,IF(L311=6,10,IF(L311=7,9,IF(L311=8,8,0))))))))+IF(L311&lt;=8,0,IF(L311&lt;=16,6,0))-IF(L311&lt;=8,0,IF(L311&lt;=16,(L311-9)*0.17,0)),0)+IF(F311="JnPČ",IF(L311=1,51,IF(L311=2,35.7,IF(L311=3,27,IF(L311=4,19.5,IF(L311=5,18,IF(L311=6,16.5,IF(L311=7,15,IF(L311=8,13.5,0))))))))+IF(L311&lt;=8,0,IF(L311&lt;=16,10,0))-IF(L311&lt;=8,0,IF(L311&lt;=16,(L311-9)*0.255,0)),0)+IF(F311="JnEČ",IF(L311=1,25.5,IF(L311=2,19.53,IF(L311=3,15.48,IF(L311=4,9,IF(L311=5,8.25,IF(L311=6,7.5,IF(L311=7,6.75,IF(L311=8,6,0))))))))+IF(L311&lt;=8,0,IF(L311&lt;=16,5,0))-IF(L311&lt;=8,0,IF(L311&lt;=16,(L311-9)*0.1275,0)),0)+IF(F311="JčPČ",IF(L311=1,21.25,IF(L311=2,14.5,IF(L311=3,11.5,IF(L311=4,7,IF(L311=5,6.5,IF(L311=6,6,IF(L311=7,5.5,IF(L311=8,5,0))))))))+IF(L311&lt;=8,0,IF(L311&lt;=16,4,0))-IF(L311&lt;=8,0,IF(L311&lt;=16,(L311-9)*0.10625,0)),0)+IF(F311="JčEČ",IF(L311=1,17,IF(L311=2,13.02,IF(L311=3,10.32,IF(L311=4,6,IF(L311=5,5.5,IF(L311=6,5,IF(L311=7,4.5,IF(L311=8,4,0))))))))+IF(L311&lt;=8,0,IF(L311&lt;=16,3,0))-IF(L311&lt;=8,0,IF(L311&lt;=16,(L311-9)*0.085,0)),0)+IF(F311="NEAK",IF(L311=1,11.48,IF(L311=2,8.79,IF(L311=3,6.97,IF(L311=4,4.05,IF(L311=5,3.71,IF(L311=6,3.38,IF(L311=7,3.04,IF(L311=8,2.7,0))))))))+IF(L311&lt;=8,0,IF(L311&lt;=16,2,IF(L311&lt;=24,1.3,0)))-IF(L311&lt;=8,0,IF(L311&lt;=16,(L311-9)*0.0574,IF(L311&lt;=24,(L311-17)*0.0574,0))),0))*IF(L311&lt;4,1,IF(OR(F311="PČ",F311="PŽ",F311="PT"),IF(J311&lt;32,J311/32,1),1))* IF(L311&lt;4,1,IF(OR(F311="EČ",F311="EŽ",F311="JOŽ",F311="JPČ",F311="NEAK"),IF(J311&lt;24,J311/24,1),1))*IF(L311&lt;4,1,IF(OR(F311="PČneol",F311="JEČ",F311="JEOF",F311="JnPČ",F311="JnEČ",F311="JčPČ",F311="JčEČ"),IF(J311&lt;16,J311/16,1),1))*IF(L311&lt;4,1,IF(F311="EČneol",IF(J311&lt;8,J311/8,1),1))</f>
        <v>0</v>
      </c>
      <c r="O311" s="9">
        <f t="shared" ref="O311:O315" si="137">IF(F311="OŽ",N311,IF(H311="Ne",IF(J311*0.3&lt;=J311-L311,N311,0),IF(J311*0.1&lt;=J311-L311,N311,0)))</f>
        <v>0</v>
      </c>
      <c r="P311" s="4">
        <f t="shared" ref="P311:P320" si="138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20" si="139">IF(ISERROR(P311*100/N311),0,(P311*100/N311))</f>
        <v>0</v>
      </c>
      <c r="R311" s="10">
        <f t="shared" ref="R311:R315" si="140">IF(Q311&lt;=30,O311+P311,O311+O311*0.3)*IF(G311=1,0.4,IF(G311=2,0.75,IF(G311="1 (kas 4 m. 1 k. nerengiamos)",0.52,1)))*IF(D311="olimpinė",1,IF(M311="Ne",0.5,1))*IF(D311="olimpinė",1,IF(J311&lt;8,0,1))*E311*IF(D311="olimpinė",1,IF(K311&lt;16,0,1))*IF(I311&lt;=1,1,1/I311)*IF(OR(A$5="Lietuvos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2" spans="1:18" s="8" customFormat="1">
      <c r="A312" s="73">
        <v>2</v>
      </c>
      <c r="B312" s="73" t="s">
        <v>103</v>
      </c>
      <c r="C312" s="12">
        <v>420</v>
      </c>
      <c r="D312" s="73" t="s">
        <v>45</v>
      </c>
      <c r="E312" s="73">
        <v>2</v>
      </c>
      <c r="F312" s="73" t="s">
        <v>102</v>
      </c>
      <c r="G312" s="73">
        <v>1</v>
      </c>
      <c r="H312" s="73" t="s">
        <v>59</v>
      </c>
      <c r="I312" s="73"/>
      <c r="J312" s="73">
        <v>30</v>
      </c>
      <c r="K312" s="73">
        <v>30</v>
      </c>
      <c r="L312" s="73">
        <v>30</v>
      </c>
      <c r="M312" s="73"/>
      <c r="N312" s="3">
        <f t="shared" si="136"/>
        <v>0</v>
      </c>
      <c r="O312" s="9">
        <f t="shared" si="137"/>
        <v>0</v>
      </c>
      <c r="P312" s="4">
        <f t="shared" si="138"/>
        <v>0</v>
      </c>
      <c r="Q312" s="11">
        <f t="shared" si="139"/>
        <v>0</v>
      </c>
      <c r="R312" s="10">
        <f t="shared" si="140"/>
        <v>0</v>
      </c>
    </row>
    <row r="313" spans="1:18" s="8" customFormat="1">
      <c r="A313" s="73">
        <v>3</v>
      </c>
      <c r="B313" s="73" t="s">
        <v>91</v>
      </c>
      <c r="C313" s="12" t="s">
        <v>30</v>
      </c>
      <c r="D313" s="73" t="s">
        <v>45</v>
      </c>
      <c r="E313" s="73">
        <v>1</v>
      </c>
      <c r="F313" s="73" t="s">
        <v>102</v>
      </c>
      <c r="G313" s="73">
        <v>1</v>
      </c>
      <c r="H313" s="73" t="s">
        <v>59</v>
      </c>
      <c r="I313" s="73"/>
      <c r="J313" s="73">
        <v>57</v>
      </c>
      <c r="K313" s="73">
        <v>57</v>
      </c>
      <c r="L313" s="73">
        <v>23</v>
      </c>
      <c r="M313" s="73"/>
      <c r="N313" s="3">
        <f t="shared" si="136"/>
        <v>0</v>
      </c>
      <c r="O313" s="9">
        <f t="shared" si="137"/>
        <v>0</v>
      </c>
      <c r="P313" s="4">
        <f t="shared" si="138"/>
        <v>0</v>
      </c>
      <c r="Q313" s="11">
        <f t="shared" si="139"/>
        <v>0</v>
      </c>
      <c r="R313" s="10">
        <f t="shared" si="140"/>
        <v>0</v>
      </c>
    </row>
    <row r="314" spans="1:18" s="8" customFormat="1">
      <c r="A314" s="73">
        <v>4</v>
      </c>
      <c r="B314" s="73" t="s">
        <v>104</v>
      </c>
      <c r="C314" s="12" t="s">
        <v>30</v>
      </c>
      <c r="D314" s="73" t="s">
        <v>31</v>
      </c>
      <c r="E314" s="73">
        <v>1</v>
      </c>
      <c r="F314" s="73" t="s">
        <v>102</v>
      </c>
      <c r="G314" s="73">
        <v>1</v>
      </c>
      <c r="H314" s="73" t="s">
        <v>59</v>
      </c>
      <c r="I314" s="73"/>
      <c r="J314" s="73">
        <v>47</v>
      </c>
      <c r="K314" s="73">
        <v>47</v>
      </c>
      <c r="L314" s="73">
        <v>45</v>
      </c>
      <c r="M314" s="73"/>
      <c r="N314" s="3">
        <f t="shared" si="136"/>
        <v>0</v>
      </c>
      <c r="O314" s="9">
        <f t="shared" si="137"/>
        <v>0</v>
      </c>
      <c r="P314" s="4">
        <f t="shared" si="138"/>
        <v>0</v>
      </c>
      <c r="Q314" s="11">
        <f t="shared" si="139"/>
        <v>0</v>
      </c>
      <c r="R314" s="10">
        <f t="shared" si="140"/>
        <v>0</v>
      </c>
    </row>
    <row r="315" spans="1:18" s="8" customFormat="1">
      <c r="A315" s="73">
        <v>5</v>
      </c>
      <c r="B315" s="73" t="s">
        <v>105</v>
      </c>
      <c r="C315" s="12" t="s">
        <v>106</v>
      </c>
      <c r="D315" s="73" t="s">
        <v>31</v>
      </c>
      <c r="E315" s="73">
        <v>1</v>
      </c>
      <c r="F315" s="73" t="s">
        <v>102</v>
      </c>
      <c r="G315" s="73">
        <v>1</v>
      </c>
      <c r="H315" s="73" t="s">
        <v>59</v>
      </c>
      <c r="I315" s="73"/>
      <c r="J315" s="73">
        <v>29</v>
      </c>
      <c r="K315" s="73">
        <v>29</v>
      </c>
      <c r="L315" s="73">
        <v>27</v>
      </c>
      <c r="M315" s="73"/>
      <c r="N315" s="3">
        <f t="shared" si="136"/>
        <v>0</v>
      </c>
      <c r="O315" s="9">
        <f t="shared" si="137"/>
        <v>0</v>
      </c>
      <c r="P315" s="4">
        <f t="shared" si="138"/>
        <v>0</v>
      </c>
      <c r="Q315" s="11">
        <f t="shared" si="139"/>
        <v>0</v>
      </c>
      <c r="R315" s="10">
        <f t="shared" si="140"/>
        <v>0</v>
      </c>
    </row>
    <row r="316" spans="1:18" s="8" customFormat="1">
      <c r="A316" s="73">
        <v>6</v>
      </c>
      <c r="B316" s="73"/>
      <c r="C316" s="12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3">
        <f t="shared" ref="N316:N320" si="141">(IF(F316="OŽ",IF(L316=1,550.8,IF(L316=2,426.38,IF(L316=3,342.14,IF(L316=4,181.44,IF(L316=5,168.48,IF(L316=6,155.52,IF(L316=7,148.5,IF(L316=8,144,0))))))))+IF(L316&lt;=8,0,IF(L316&lt;=16,137.7,IF(L316&lt;=24,108,IF(L316&lt;=32,80.1,IF(L316&lt;=36,52.2,0)))))-IF(L316&lt;=8,0,IF(L316&lt;=16,(L316-9)*2.754,IF(L316&lt;=24,(L316-17)* 2.754,IF(L316&lt;=32,(L316-25)* 2.754,IF(L316&lt;=36,(L316-33)*2.754,0))))),0)+IF(F316="PČ",IF(L316=1,449,IF(L316=2,314.6,IF(L316=3,238,IF(L316=4,172,IF(L316=5,159,IF(L316=6,145,IF(L316=7,132,IF(L316=8,119,0))))))))+IF(L316&lt;=8,0,IF(L316&lt;=16,88,IF(L316&lt;=24,55,IF(L316&lt;=32,22,0))))-IF(L316&lt;=8,0,IF(L316&lt;=16,(L316-9)*2.245,IF(L316&lt;=24,(L316-17)*2.245,IF(L316&lt;=32,(L316-25)*2.245,0)))),0)+IF(F316="PČneol",IF(L316=1,85,IF(L316=2,64.61,IF(L316=3,50.76,IF(L316=4,16.25,IF(L316=5,15,IF(L316=6,13.75,IF(L316=7,12.5,IF(L316=8,11.25,0))))))))+IF(L316&lt;=8,0,IF(L316&lt;=16,9,0))-IF(L316&lt;=8,0,IF(L316&lt;=16,(L316-9)*0.425,0)),0)+IF(F316="PŽ",IF(L316=1,85,IF(L316=2,59.5,IF(L316=3,45,IF(L316=4,32.5,IF(L316=5,30,IF(L316=6,27.5,IF(L316=7,25,IF(L316=8,22.5,0))))))))+IF(L316&lt;=8,0,IF(L316&lt;=16,19,IF(L316&lt;=24,13,IF(L316&lt;=32,8,0))))-IF(L316&lt;=8,0,IF(L316&lt;=16,(L316-9)*0.425,IF(L316&lt;=24,(L316-17)*0.425,IF(L316&lt;=32,(L316-25)*0.425,0)))),0)+IF(F316="EČ",IF(L316=1,204,IF(L316=2,156.24,IF(L316=3,123.84,IF(L316=4,72,IF(L316=5,66,IF(L316=6,60,IF(L316=7,54,IF(L316=8,48,0))))))))+IF(L316&lt;=8,0,IF(L316&lt;=16,40,IF(L316&lt;=24,25,0)))-IF(L316&lt;=8,0,IF(L316&lt;=16,(L316-9)*1.02,IF(L316&lt;=24,(L316-17)*1.02,0))),0)+IF(F316="EČneol",IF(L316=1,68,IF(L316=2,51.69,IF(L316=3,40.61,IF(L316=4,13,IF(L316=5,12,IF(L316=6,11,IF(L316=7,10,IF(L316=8,9,0)))))))))+IF(F316="EŽ",IF(L316=1,68,IF(L316=2,47.6,IF(L316=3,36,IF(L316=4,18,IF(L316=5,16.5,IF(L316=6,15,IF(L316=7,13.5,IF(L316=8,12,0))))))))+IF(L316&lt;=8,0,IF(L316&lt;=16,10,IF(L316&lt;=24,6,0)))-IF(L316&lt;=8,0,IF(L316&lt;=16,(L316-9)*0.34,IF(L316&lt;=24,(L316-17)*0.34,0))),0)+IF(F316="PT",IF(L316=1,68,IF(L316=2,52.08,IF(L316=3,41.28,IF(L316=4,24,IF(L316=5,22,IF(L316=6,20,IF(L316=7,18,IF(L316=8,16,0))))))))+IF(L316&lt;=8,0,IF(L316&lt;=16,13,IF(L316&lt;=24,9,IF(L316&lt;=32,4,0))))-IF(L316&lt;=8,0,IF(L316&lt;=16,(L316-9)*0.34,IF(L316&lt;=24,(L316-17)*0.34,IF(L316&lt;=32,(L316-25)*0.34,0)))),0)+IF(F316="JOŽ",IF(L316=1,85,IF(L316=2,59.5,IF(L316=3,45,IF(L316=4,32.5,IF(L316=5,30,IF(L316=6,27.5,IF(L316=7,25,IF(L316=8,22.5,0))))))))+IF(L316&lt;=8,0,IF(L316&lt;=16,19,IF(L316&lt;=24,13,0)))-IF(L316&lt;=8,0,IF(L316&lt;=16,(L316-9)*0.425,IF(L316&lt;=24,(L316-17)*0.425,0))),0)+IF(F316="JPČ",IF(L316=1,68,IF(L316=2,47.6,IF(L316=3,36,IF(L316=4,26,IF(L316=5,24,IF(L316=6,22,IF(L316=7,20,IF(L316=8,18,0))))))))+IF(L316&lt;=8,0,IF(L316&lt;=16,13,IF(L316&lt;=24,9,0)))-IF(L316&lt;=8,0,IF(L316&lt;=16,(L316-9)*0.34,IF(L316&lt;=24,(L316-17)*0.34,0))),0)+IF(F316="JEČ",IF(L316=1,34,IF(L316=2,26.04,IF(L316=3,20.6,IF(L316=4,12,IF(L316=5,11,IF(L316=6,10,IF(L316=7,9,IF(L316=8,8,0))))))))+IF(L316&lt;=8,0,IF(L316&lt;=16,6,0))-IF(L316&lt;=8,0,IF(L316&lt;=16,(L316-9)*0.17,0)),0)+IF(F316="JEOF",IF(L316=1,34,IF(L316=2,26.04,IF(L316=3,20.6,IF(L316=4,12,IF(L316=5,11,IF(L316=6,10,IF(L316=7,9,IF(L316=8,8,0))))))))+IF(L316&lt;=8,0,IF(L316&lt;=16,6,0))-IF(L316&lt;=8,0,IF(L316&lt;=16,(L316-9)*0.17,0)),0)+IF(F316="JnPČ",IF(L316=1,51,IF(L316=2,35.7,IF(L316=3,27,IF(L316=4,19.5,IF(L316=5,18,IF(L316=6,16.5,IF(L316=7,15,IF(L316=8,13.5,0))))))))+IF(L316&lt;=8,0,IF(L316&lt;=16,10,0))-IF(L316&lt;=8,0,IF(L316&lt;=16,(L316-9)*0.255,0)),0)+IF(F316="JnEČ",IF(L316=1,25.5,IF(L316=2,19.53,IF(L316=3,15.48,IF(L316=4,9,IF(L316=5,8.25,IF(L316=6,7.5,IF(L316=7,6.75,IF(L316=8,6,0))))))))+IF(L316&lt;=8,0,IF(L316&lt;=16,5,0))-IF(L316&lt;=8,0,IF(L316&lt;=16,(L316-9)*0.1275,0)),0)+IF(F316="JčPČ",IF(L316=1,21.25,IF(L316=2,14.5,IF(L316=3,11.5,IF(L316=4,7,IF(L316=5,6.5,IF(L316=6,6,IF(L316=7,5.5,IF(L316=8,5,0))))))))+IF(L316&lt;=8,0,IF(L316&lt;=16,4,0))-IF(L316&lt;=8,0,IF(L316&lt;=16,(L316-9)*0.10625,0)),0)+IF(F316="JčEČ",IF(L316=1,17,IF(L316=2,13.02,IF(L316=3,10.32,IF(L316=4,6,IF(L316=5,5.5,IF(L316=6,5,IF(L316=7,4.5,IF(L316=8,4,0))))))))+IF(L316&lt;=8,0,IF(L316&lt;=16,3,0))-IF(L316&lt;=8,0,IF(L316&lt;=16,(L316-9)*0.085,0)),0)+IF(F316="NEAK",IF(L316=1,11.48,IF(L316=2,8.79,IF(L316=3,6.97,IF(L316=4,4.05,IF(L316=5,3.71,IF(L316=6,3.38,IF(L316=7,3.04,IF(L316=8,2.7,0))))))))+IF(L316&lt;=8,0,IF(L316&lt;=16,2,IF(L316&lt;=24,1.3,0)))-IF(L316&lt;=8,0,IF(L316&lt;=16,(L316-9)*0.0574,IF(L316&lt;=24,(L316-17)*0.0574,0))),0))*IF(L316&lt;0,1,IF(OR(F316="PČ",F316="PŽ",F316="PT"),IF(J316&lt;32,J316/32,1),1))* IF(L316&lt;0,1,IF(OR(F316="EČ",F316="EŽ",F316="JOŽ",F316="JPČ",F316="NEAK"),IF(J316&lt;24,J316/24,1),1))*IF(L316&lt;0,1,IF(OR(F316="PČneol",F316="JEČ",F316="JEOF",F316="JnPČ",F316="JnEČ",F316="JčPČ",F316="JčEČ"),IF(J316&lt;16,J316/16,1),1))*IF(L316&lt;0,1,IF(F316="EČneol",IF(J316&lt;8,J316/8,1),1))</f>
        <v>0</v>
      </c>
      <c r="O316" s="9">
        <f t="shared" ref="O316:O320" si="142">IF(F316="OŽ",N316,IF(H316="Ne",IF(J316*0.3&lt;J316-L316,N316,0),IF(J316*0.1&lt;J316-L316,N316,0)))</f>
        <v>0</v>
      </c>
      <c r="P316" s="4">
        <f t="shared" si="138"/>
        <v>0</v>
      </c>
      <c r="Q316" s="11">
        <f t="shared" si="139"/>
        <v>0</v>
      </c>
      <c r="R316" s="10">
        <f t="shared" ref="R316:R320" si="143">IF(Q316&lt;=30,O316+P316,O316+O316*0.3)*IF(G316=1,0.4,IF(G316=2,0.75,IF(G316="1 (kas 4 m. 1 k. nerengiamos)",0.52,1)))*IF(D316="olimpinė",1,IF(M316="Ne",0.5,1))*IF(OR(A$5="Lietuvos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federacija"),IF(OR(J316&lt;8,K316&lt;16),0,1),1)*E316*IF(I316&lt;=1,1,1/I316)*IF(OR(A$5="Lietuvos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7" spans="1:18" s="8" customFormat="1">
      <c r="A317" s="73">
        <v>7</v>
      </c>
      <c r="B317" s="73"/>
      <c r="C317" s="12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3">
        <f t="shared" si="141"/>
        <v>0</v>
      </c>
      <c r="O317" s="9">
        <f t="shared" si="142"/>
        <v>0</v>
      </c>
      <c r="P317" s="4">
        <f t="shared" si="138"/>
        <v>0</v>
      </c>
      <c r="Q317" s="11">
        <f t="shared" si="139"/>
        <v>0</v>
      </c>
      <c r="R317" s="10">
        <f t="shared" si="143"/>
        <v>0</v>
      </c>
    </row>
    <row r="318" spans="1:18" s="8" customFormat="1">
      <c r="A318" s="73">
        <v>8</v>
      </c>
      <c r="B318" s="73"/>
      <c r="C318" s="12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3">
        <f t="shared" si="141"/>
        <v>0</v>
      </c>
      <c r="O318" s="9">
        <f t="shared" si="142"/>
        <v>0</v>
      </c>
      <c r="P318" s="4">
        <f t="shared" si="138"/>
        <v>0</v>
      </c>
      <c r="Q318" s="11">
        <f t="shared" si="139"/>
        <v>0</v>
      </c>
      <c r="R318" s="10">
        <f t="shared" si="143"/>
        <v>0</v>
      </c>
    </row>
    <row r="319" spans="1:18" s="8" customFormat="1">
      <c r="A319" s="73">
        <v>9</v>
      </c>
      <c r="B319" s="73"/>
      <c r="C319" s="12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3">
        <f t="shared" si="141"/>
        <v>0</v>
      </c>
      <c r="O319" s="9">
        <f t="shared" si="142"/>
        <v>0</v>
      </c>
      <c r="P319" s="4">
        <f t="shared" si="138"/>
        <v>0</v>
      </c>
      <c r="Q319" s="11">
        <f t="shared" si="139"/>
        <v>0</v>
      </c>
      <c r="R319" s="10">
        <f t="shared" si="143"/>
        <v>0</v>
      </c>
    </row>
    <row r="320" spans="1:18" s="8" customFormat="1">
      <c r="A320" s="73">
        <v>10</v>
      </c>
      <c r="B320" s="73"/>
      <c r="C320" s="12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3">
        <f t="shared" si="141"/>
        <v>0</v>
      </c>
      <c r="O320" s="9">
        <f t="shared" si="142"/>
        <v>0</v>
      </c>
      <c r="P320" s="4">
        <f t="shared" si="138"/>
        <v>0</v>
      </c>
      <c r="Q320" s="11">
        <f t="shared" si="139"/>
        <v>0</v>
      </c>
      <c r="R320" s="10">
        <f t="shared" si="143"/>
        <v>0</v>
      </c>
    </row>
    <row r="321" spans="1:18" s="8" customFormat="1">
      <c r="A321" s="82" t="s">
        <v>36</v>
      </c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4"/>
      <c r="R321" s="10">
        <f>SUM(R311:R320)</f>
        <v>0</v>
      </c>
    </row>
    <row r="322" spans="1:18" s="8" customFormat="1" ht="15.75">
      <c r="A322" s="24" t="s">
        <v>37</v>
      </c>
      <c r="B322" s="2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7"/>
    </row>
    <row r="323" spans="1:18" s="8" customFormat="1">
      <c r="A323" s="49" t="s">
        <v>49</v>
      </c>
      <c r="B323" s="49"/>
      <c r="C323" s="49"/>
      <c r="D323" s="49"/>
      <c r="E323" s="49"/>
      <c r="F323" s="49"/>
      <c r="G323" s="49"/>
      <c r="H323" s="49"/>
      <c r="I323" s="49"/>
      <c r="J323" s="56"/>
      <c r="K323" s="56"/>
      <c r="L323" s="56"/>
      <c r="M323" s="56"/>
      <c r="N323" s="56"/>
      <c r="O323" s="56"/>
      <c r="P323" s="56"/>
      <c r="Q323" s="56"/>
      <c r="R323" s="57"/>
    </row>
    <row r="324" spans="1:18" s="8" customFormat="1">
      <c r="A324" s="49"/>
      <c r="B324" s="49"/>
      <c r="C324" s="49"/>
      <c r="D324" s="49"/>
      <c r="E324" s="49"/>
      <c r="F324" s="49"/>
      <c r="G324" s="49"/>
      <c r="H324" s="49"/>
      <c r="I324" s="49"/>
      <c r="J324" s="56"/>
      <c r="K324" s="56"/>
      <c r="L324" s="56"/>
      <c r="M324" s="56"/>
      <c r="N324" s="56"/>
      <c r="O324" s="56"/>
      <c r="P324" s="56"/>
      <c r="Q324" s="56"/>
      <c r="R324" s="57"/>
    </row>
    <row r="325" spans="1:18" s="8" customFormat="1">
      <c r="A325" s="76" t="s">
        <v>107</v>
      </c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68"/>
    </row>
    <row r="326" spans="1:18" s="8" customFormat="1" ht="18">
      <c r="A326" s="78" t="s">
        <v>27</v>
      </c>
      <c r="B326" s="79"/>
      <c r="C326" s="79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68"/>
    </row>
    <row r="327" spans="1:18" s="8" customFormat="1">
      <c r="A327" s="80" t="s">
        <v>108</v>
      </c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68"/>
    </row>
    <row r="328" spans="1:18" s="8" customFormat="1" ht="90">
      <c r="A328" s="73">
        <v>1</v>
      </c>
      <c r="B328" s="73" t="s">
        <v>109</v>
      </c>
      <c r="C328" s="12" t="s">
        <v>61</v>
      </c>
      <c r="D328" s="73" t="s">
        <v>45</v>
      </c>
      <c r="E328" s="73">
        <v>7</v>
      </c>
      <c r="F328" s="73" t="s">
        <v>66</v>
      </c>
      <c r="G328" s="73">
        <v>1</v>
      </c>
      <c r="H328" s="73" t="s">
        <v>59</v>
      </c>
      <c r="I328" s="73"/>
      <c r="J328" s="73">
        <v>12</v>
      </c>
      <c r="K328" s="62">
        <v>20</v>
      </c>
      <c r="L328" s="73">
        <v>2</v>
      </c>
      <c r="M328" s="73"/>
      <c r="N328" s="3">
        <f t="shared" ref="N328" si="144">(IF(F328="OŽ",IF(L328=1,550.8,IF(L328=2,426.38,IF(L328=3,342.14,IF(L328=4,181.44,IF(L328=5,168.48,IF(L328=6,155.52,IF(L328=7,148.5,IF(L328=8,144,0))))))))+IF(L328&lt;=8,0,IF(L328&lt;=16,137.7,IF(L328&lt;=24,108,IF(L328&lt;=32,80.1,IF(L328&lt;=36,52.2,0)))))-IF(L328&lt;=8,0,IF(L328&lt;=16,(L328-9)*2.754,IF(L328&lt;=24,(L328-17)* 2.754,IF(L328&lt;=32,(L328-25)* 2.754,IF(L328&lt;=36,(L328-33)*2.754,0))))),0)+IF(F328="PČ",IF(L328=1,449,IF(L328=2,314.6,IF(L328=3,238,IF(L328=4,172,IF(L328=5,159,IF(L328=6,145,IF(L328=7,132,IF(L328=8,119,0))))))))+IF(L328&lt;=8,0,IF(L328&lt;=16,88,IF(L328&lt;=24,55,IF(L328&lt;=32,22,0))))-IF(L328&lt;=8,0,IF(L328&lt;=16,(L328-9)*2.245,IF(L328&lt;=24,(L328-17)*2.245,IF(L328&lt;=32,(L328-25)*2.245,0)))),0)+IF(F328="PČneol",IF(L328=1,85,IF(L328=2,64.61,IF(L328=3,50.76,IF(L328=4,16.25,IF(L328=5,15,IF(L328=6,13.75,IF(L328=7,12.5,IF(L328=8,11.25,0))))))))+IF(L328&lt;=8,0,IF(L328&lt;=16,9,0))-IF(L328&lt;=8,0,IF(L328&lt;=16,(L328-9)*0.425,0)),0)+IF(F328="PŽ",IF(L328=1,85,IF(L328=2,59.5,IF(L328=3,45,IF(L328=4,32.5,IF(L328=5,30,IF(L328=6,27.5,IF(L328=7,25,IF(L328=8,22.5,0))))))))+IF(L328&lt;=8,0,IF(L328&lt;=16,19,IF(L328&lt;=24,13,IF(L328&lt;=32,8,0))))-IF(L328&lt;=8,0,IF(L328&lt;=16,(L328-9)*0.425,IF(L328&lt;=24,(L328-17)*0.425,IF(L328&lt;=32,(L328-25)*0.425,0)))),0)+IF(F328="EČ",IF(L328=1,204,IF(L328=2,156.24,IF(L328=3,123.84,IF(L328=4,72,IF(L328=5,66,IF(L328=6,60,IF(L328=7,54,IF(L328=8,48,0))))))))+IF(L328&lt;=8,0,IF(L328&lt;=16,40,IF(L328&lt;=24,25,0)))-IF(L328&lt;=8,0,IF(L328&lt;=16,(L328-9)*1.02,IF(L328&lt;=24,(L328-17)*1.02,0))),0)+IF(F328="EČneol",IF(L328=1,68,IF(L328=2,51.69,IF(L328=3,40.61,IF(L328=4,13,IF(L328=5,12,IF(L328=6,11,IF(L328=7,10,IF(L328=8,9,0)))))))))+IF(F328="EŽ",IF(L328=1,68,IF(L328=2,47.6,IF(L328=3,36,IF(L328=4,18,IF(L328=5,16.5,IF(L328=6,15,IF(L328=7,13.5,IF(L328=8,12,0))))))))+IF(L328&lt;=8,0,IF(L328&lt;=16,10,IF(L328&lt;=24,6,0)))-IF(L328&lt;=8,0,IF(L328&lt;=16,(L328-9)*0.34,IF(L328&lt;=24,(L328-17)*0.34,0))),0)+IF(F328="PT",IF(L328=1,68,IF(L328=2,52.08,IF(L328=3,41.28,IF(L328=4,24,IF(L328=5,22,IF(L328=6,20,IF(L328=7,18,IF(L328=8,16,0))))))))+IF(L328&lt;=8,0,IF(L328&lt;=16,13,IF(L328&lt;=24,9,IF(L328&lt;=32,4,0))))-IF(L328&lt;=8,0,IF(L328&lt;=16,(L328-9)*0.34,IF(L328&lt;=24,(L328-17)*0.34,IF(L328&lt;=32,(L328-25)*0.34,0)))),0)+IF(F328="JOŽ",IF(L328=1,85,IF(L328=2,59.5,IF(L328=3,45,IF(L328=4,32.5,IF(L328=5,30,IF(L328=6,27.5,IF(L328=7,25,IF(L328=8,22.5,0))))))))+IF(L328&lt;=8,0,IF(L328&lt;=16,19,IF(L328&lt;=24,13,0)))-IF(L328&lt;=8,0,IF(L328&lt;=16,(L328-9)*0.425,IF(L328&lt;=24,(L328-17)*0.425,0))),0)+IF(F328="JPČ",IF(L328=1,68,IF(L328=2,47.6,IF(L328=3,36,IF(L328=4,26,IF(L328=5,24,IF(L328=6,22,IF(L328=7,20,IF(L328=8,18,0))))))))+IF(L328&lt;=8,0,IF(L328&lt;=16,13,IF(L328&lt;=24,9,0)))-IF(L328&lt;=8,0,IF(L328&lt;=16,(L328-9)*0.34,IF(L328&lt;=24,(L328-17)*0.34,0))),0)+IF(F328="JEČ",IF(L328=1,34,IF(L328=2,26.04,IF(L328=3,20.6,IF(L328=4,12,IF(L328=5,11,IF(L328=6,10,IF(L328=7,9,IF(L328=8,8,0))))))))+IF(L328&lt;=8,0,IF(L328&lt;=16,6,0))-IF(L328&lt;=8,0,IF(L328&lt;=16,(L328-9)*0.17,0)),0)+IF(F328="JEOF",IF(L328=1,34,IF(L328=2,26.04,IF(L328=3,20.6,IF(L328=4,12,IF(L328=5,11,IF(L328=6,10,IF(L328=7,9,IF(L328=8,8,0))))))))+IF(L328&lt;=8,0,IF(L328&lt;=16,6,0))-IF(L328&lt;=8,0,IF(L328&lt;=16,(L328-9)*0.17,0)),0)+IF(F328="JnPČ",IF(L328=1,51,IF(L328=2,35.7,IF(L328=3,27,IF(L328=4,19.5,IF(L328=5,18,IF(L328=6,16.5,IF(L328=7,15,IF(L328=8,13.5,0))))))))+IF(L328&lt;=8,0,IF(L328&lt;=16,10,0))-IF(L328&lt;=8,0,IF(L328&lt;=16,(L328-9)*0.255,0)),0)+IF(F328="JnEČ",IF(L328=1,25.5,IF(L328=2,19.53,IF(L328=3,15.48,IF(L328=4,9,IF(L328=5,8.25,IF(L328=6,7.5,IF(L328=7,6.75,IF(L328=8,6,0))))))))+IF(L328&lt;=8,0,IF(L328&lt;=16,5,0))-IF(L328&lt;=8,0,IF(L328&lt;=16,(L328-9)*0.1275,0)),0)+IF(F328="JčPČ",IF(L328=1,21.25,IF(L328=2,14.5,IF(L328=3,11.5,IF(L328=4,7,IF(L328=5,6.5,IF(L328=6,6,IF(L328=7,5.5,IF(L328=8,5,0))))))))+IF(L328&lt;=8,0,IF(L328&lt;=16,4,0))-IF(L328&lt;=8,0,IF(L328&lt;=16,(L328-9)*0.10625,0)),0)+IF(F328="JčEČ",IF(L328=1,17,IF(L328=2,13.02,IF(L328=3,10.32,IF(L328=4,6,IF(L328=5,5.5,IF(L328=6,5,IF(L328=7,4.5,IF(L328=8,4,0))))))))+IF(L328&lt;=8,0,IF(L328&lt;=16,3,0))-IF(L328&lt;=8,0,IF(L328&lt;=16,(L328-9)*0.085,0)),0)+IF(F328="NEAK",IF(L328=1,11.48,IF(L328=2,8.79,IF(L328=3,6.97,IF(L328=4,4.05,IF(L328=5,3.71,IF(L328=6,3.38,IF(L328=7,3.04,IF(L328=8,2.7,0))))))))+IF(L328&lt;=8,0,IF(L328&lt;=16,2,IF(L328&lt;=24,1.3,0)))-IF(L328&lt;=8,0,IF(L328&lt;=16,(L328-9)*0.0574,IF(L328&lt;=24,(L328-17)*0.0574,0))),0))*IF(L328&lt;4,1,IF(OR(F328="PČ",F328="PŽ",F328="PT"),IF(J328&lt;32,J328/32,1),1))* IF(L328&lt;4,1,IF(OR(F328="EČ",F328="EŽ",F328="JOŽ",F328="JPČ",F328="NEAK"),IF(J328&lt;24,J328/24,1),1))*IF(L328&lt;4,1,IF(OR(F328="PČneol",F328="JEČ",F328="JEOF",F328="JnPČ",F328="JnEČ",F328="JčPČ",F328="JčEČ"),IF(J328&lt;16,J328/16,1),1))*IF(L328&lt;4,1,IF(F328="EČneol",IF(J328&lt;8,J328/8,1),1))</f>
        <v>51.69</v>
      </c>
      <c r="O328" s="9">
        <f t="shared" ref="O328" si="145">IF(F328="OŽ",N328,IF(H328="Ne",IF(J328*0.3&lt;=J328-L328,N328,0),IF(J328*0.1&lt;=J328-L328,N328,0)))</f>
        <v>51.69</v>
      </c>
      <c r="P328" s="4">
        <f t="shared" ref="P328:P337" si="146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1.224</v>
      </c>
      <c r="Q328" s="11">
        <f t="shared" ref="Q328:Q337" si="147">IF(ISERROR(P328*100/N328),0,(P328*100/N328))</f>
        <v>2.3679628554846199</v>
      </c>
      <c r="R328" s="10">
        <f t="shared" ref="R328" si="148">IF(Q328&lt;=30,O328+P328,O328+O328*0.3)*IF(G328=1,0.4,IF(G328=2,0.75,IF(G328="1 (kas 4 m. 1 k. nerengiamos)",0.52,1)))*IF(D328="olimpinė",1,IF(M328="Ne",0.5,1))*IF(D328="olimpinė",1,IF(J328&lt;8,0,1))*E328*IF(D328="olimpinė",1,IF(K328&lt;16,0,1))*IF(I328&lt;=1,1,1/I328)*IF(OR(A$5="Lietuvos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155.56716</v>
      </c>
    </row>
    <row r="329" spans="1:18" s="8" customFormat="1">
      <c r="A329" s="73">
        <v>2</v>
      </c>
      <c r="B329" s="73"/>
      <c r="C329" s="12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3">
        <f t="shared" ref="N329:N337" si="149">(IF(F329="OŽ",IF(L329=1,550.8,IF(L329=2,426.38,IF(L329=3,342.14,IF(L329=4,181.44,IF(L329=5,168.48,IF(L329=6,155.52,IF(L329=7,148.5,IF(L329=8,144,0))))))))+IF(L329&lt;=8,0,IF(L329&lt;=16,137.7,IF(L329&lt;=24,108,IF(L329&lt;=32,80.1,IF(L329&lt;=36,52.2,0)))))-IF(L329&lt;=8,0,IF(L329&lt;=16,(L329-9)*2.754,IF(L329&lt;=24,(L329-17)* 2.754,IF(L329&lt;=32,(L329-25)* 2.754,IF(L329&lt;=36,(L329-33)*2.754,0))))),0)+IF(F329="PČ",IF(L329=1,449,IF(L329=2,314.6,IF(L329=3,238,IF(L329=4,172,IF(L329=5,159,IF(L329=6,145,IF(L329=7,132,IF(L329=8,119,0))))))))+IF(L329&lt;=8,0,IF(L329&lt;=16,88,IF(L329&lt;=24,55,IF(L329&lt;=32,22,0))))-IF(L329&lt;=8,0,IF(L329&lt;=16,(L329-9)*2.245,IF(L329&lt;=24,(L329-17)*2.245,IF(L329&lt;=32,(L329-25)*2.245,0)))),0)+IF(F329="PČneol",IF(L329=1,85,IF(L329=2,64.61,IF(L329=3,50.76,IF(L329=4,16.25,IF(L329=5,15,IF(L329=6,13.75,IF(L329=7,12.5,IF(L329=8,11.25,0))))))))+IF(L329&lt;=8,0,IF(L329&lt;=16,9,0))-IF(L329&lt;=8,0,IF(L329&lt;=16,(L329-9)*0.425,0)),0)+IF(F329="PŽ",IF(L329=1,85,IF(L329=2,59.5,IF(L329=3,45,IF(L329=4,32.5,IF(L329=5,30,IF(L329=6,27.5,IF(L329=7,25,IF(L329=8,22.5,0))))))))+IF(L329&lt;=8,0,IF(L329&lt;=16,19,IF(L329&lt;=24,13,IF(L329&lt;=32,8,0))))-IF(L329&lt;=8,0,IF(L329&lt;=16,(L329-9)*0.425,IF(L329&lt;=24,(L329-17)*0.425,IF(L329&lt;=32,(L329-25)*0.425,0)))),0)+IF(F329="EČ",IF(L329=1,204,IF(L329=2,156.24,IF(L329=3,123.84,IF(L329=4,72,IF(L329=5,66,IF(L329=6,60,IF(L329=7,54,IF(L329=8,48,0))))))))+IF(L329&lt;=8,0,IF(L329&lt;=16,40,IF(L329&lt;=24,25,0)))-IF(L329&lt;=8,0,IF(L329&lt;=16,(L329-9)*1.02,IF(L329&lt;=24,(L329-17)*1.02,0))),0)+IF(F329="EČneol",IF(L329=1,68,IF(L329=2,51.69,IF(L329=3,40.61,IF(L329=4,13,IF(L329=5,12,IF(L329=6,11,IF(L329=7,10,IF(L329=8,9,0)))))))))+IF(F329="EŽ",IF(L329=1,68,IF(L329=2,47.6,IF(L329=3,36,IF(L329=4,18,IF(L329=5,16.5,IF(L329=6,15,IF(L329=7,13.5,IF(L329=8,12,0))))))))+IF(L329&lt;=8,0,IF(L329&lt;=16,10,IF(L329&lt;=24,6,0)))-IF(L329&lt;=8,0,IF(L329&lt;=16,(L329-9)*0.34,IF(L329&lt;=24,(L329-17)*0.34,0))),0)+IF(F329="PT",IF(L329=1,68,IF(L329=2,52.08,IF(L329=3,41.28,IF(L329=4,24,IF(L329=5,22,IF(L329=6,20,IF(L329=7,18,IF(L329=8,16,0))))))))+IF(L329&lt;=8,0,IF(L329&lt;=16,13,IF(L329&lt;=24,9,IF(L329&lt;=32,4,0))))-IF(L329&lt;=8,0,IF(L329&lt;=16,(L329-9)*0.34,IF(L329&lt;=24,(L329-17)*0.34,IF(L329&lt;=32,(L329-25)*0.34,0)))),0)+IF(F329="JOŽ",IF(L329=1,85,IF(L329=2,59.5,IF(L329=3,45,IF(L329=4,32.5,IF(L329=5,30,IF(L329=6,27.5,IF(L329=7,25,IF(L329=8,22.5,0))))))))+IF(L329&lt;=8,0,IF(L329&lt;=16,19,IF(L329&lt;=24,13,0)))-IF(L329&lt;=8,0,IF(L329&lt;=16,(L329-9)*0.425,IF(L329&lt;=24,(L329-17)*0.425,0))),0)+IF(F329="JPČ",IF(L329=1,68,IF(L329=2,47.6,IF(L329=3,36,IF(L329=4,26,IF(L329=5,24,IF(L329=6,22,IF(L329=7,20,IF(L329=8,18,0))))))))+IF(L329&lt;=8,0,IF(L329&lt;=16,13,IF(L329&lt;=24,9,0)))-IF(L329&lt;=8,0,IF(L329&lt;=16,(L329-9)*0.34,IF(L329&lt;=24,(L329-17)*0.34,0))),0)+IF(F329="JEČ",IF(L329=1,34,IF(L329=2,26.04,IF(L329=3,20.6,IF(L329=4,12,IF(L329=5,11,IF(L329=6,10,IF(L329=7,9,IF(L329=8,8,0))))))))+IF(L329&lt;=8,0,IF(L329&lt;=16,6,0))-IF(L329&lt;=8,0,IF(L329&lt;=16,(L329-9)*0.17,0)),0)+IF(F329="JEOF",IF(L329=1,34,IF(L329=2,26.04,IF(L329=3,20.6,IF(L329=4,12,IF(L329=5,11,IF(L329=6,10,IF(L329=7,9,IF(L329=8,8,0))))))))+IF(L329&lt;=8,0,IF(L329&lt;=16,6,0))-IF(L329&lt;=8,0,IF(L329&lt;=16,(L329-9)*0.17,0)),0)+IF(F329="JnPČ",IF(L329=1,51,IF(L329=2,35.7,IF(L329=3,27,IF(L329=4,19.5,IF(L329=5,18,IF(L329=6,16.5,IF(L329=7,15,IF(L329=8,13.5,0))))))))+IF(L329&lt;=8,0,IF(L329&lt;=16,10,0))-IF(L329&lt;=8,0,IF(L329&lt;=16,(L329-9)*0.255,0)),0)+IF(F329="JnEČ",IF(L329=1,25.5,IF(L329=2,19.53,IF(L329=3,15.48,IF(L329=4,9,IF(L329=5,8.25,IF(L329=6,7.5,IF(L329=7,6.75,IF(L329=8,6,0))))))))+IF(L329&lt;=8,0,IF(L329&lt;=16,5,0))-IF(L329&lt;=8,0,IF(L329&lt;=16,(L329-9)*0.1275,0)),0)+IF(F329="JčPČ",IF(L329=1,21.25,IF(L329=2,14.5,IF(L329=3,11.5,IF(L329=4,7,IF(L329=5,6.5,IF(L329=6,6,IF(L329=7,5.5,IF(L329=8,5,0))))))))+IF(L329&lt;=8,0,IF(L329&lt;=16,4,0))-IF(L329&lt;=8,0,IF(L329&lt;=16,(L329-9)*0.10625,0)),0)+IF(F329="JčEČ",IF(L329=1,17,IF(L329=2,13.02,IF(L329=3,10.32,IF(L329=4,6,IF(L329=5,5.5,IF(L329=6,5,IF(L329=7,4.5,IF(L329=8,4,0))))))))+IF(L329&lt;=8,0,IF(L329&lt;=16,3,0))-IF(L329&lt;=8,0,IF(L329&lt;=16,(L329-9)*0.085,0)),0)+IF(F329="NEAK",IF(L329=1,11.48,IF(L329=2,8.79,IF(L329=3,6.97,IF(L329=4,4.05,IF(L329=5,3.71,IF(L329=6,3.38,IF(L329=7,3.04,IF(L329=8,2.7,0))))))))+IF(L329&lt;=8,0,IF(L329&lt;=16,2,IF(L329&lt;=24,1.3,0)))-IF(L329&lt;=8,0,IF(L329&lt;=16,(L329-9)*0.0574,IF(L329&lt;=24,(L329-17)*0.0574,0))),0))*IF(L329&lt;0,1,IF(OR(F329="PČ",F329="PŽ",F329="PT"),IF(J329&lt;32,J329/32,1),1))* IF(L329&lt;0,1,IF(OR(F329="EČ",F329="EŽ",F329="JOŽ",F329="JPČ",F329="NEAK"),IF(J329&lt;24,J329/24,1),1))*IF(L329&lt;0,1,IF(OR(F329="PČneol",F329="JEČ",F329="JEOF",F329="JnPČ",F329="JnEČ",F329="JčPČ",F329="JčEČ"),IF(J329&lt;16,J329/16,1),1))*IF(L329&lt;0,1,IF(F329="EČneol",IF(J329&lt;8,J329/8,1),1))</f>
        <v>0</v>
      </c>
      <c r="O329" s="9">
        <f t="shared" ref="O329:O337" si="150">IF(F329="OŽ",N329,IF(H329="Ne",IF(J329*0.3&lt;J329-L329,N329,0),IF(J329*0.1&lt;J329-L329,N329,0)))</f>
        <v>0</v>
      </c>
      <c r="P329" s="4">
        <f t="shared" si="146"/>
        <v>0</v>
      </c>
      <c r="Q329" s="11">
        <f t="shared" si="147"/>
        <v>0</v>
      </c>
      <c r="R329" s="10">
        <f t="shared" ref="R329:R337" si="151">IF(Q329&lt;=30,O329+P329,O329+O329*0.3)*IF(G329=1,0.4,IF(G329=2,0.75,IF(G329="1 (kas 4 m. 1 k. nerengiamos)",0.52,1)))*IF(D329="olimpinė",1,IF(M329="Ne",0.5,1))*IF(OR(A$5="Lietuvos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federacija"),IF(OR(J329&lt;8,K329&lt;16),0,1),1)*E329*IF(I329&lt;=1,1,1/I329)*IF(OR(A$5="Lietuvos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30" spans="1:18" s="8" customFormat="1">
      <c r="A330" s="73">
        <v>3</v>
      </c>
      <c r="B330" s="73"/>
      <c r="C330" s="12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3">
        <f t="shared" si="149"/>
        <v>0</v>
      </c>
      <c r="O330" s="9">
        <f t="shared" si="150"/>
        <v>0</v>
      </c>
      <c r="P330" s="4">
        <f t="shared" si="146"/>
        <v>0</v>
      </c>
      <c r="Q330" s="11">
        <f t="shared" si="147"/>
        <v>0</v>
      </c>
      <c r="R330" s="10">
        <f t="shared" si="151"/>
        <v>0</v>
      </c>
    </row>
    <row r="331" spans="1:18" s="8" customFormat="1">
      <c r="A331" s="73">
        <v>4</v>
      </c>
      <c r="B331" s="73"/>
      <c r="C331" s="12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3">
        <f t="shared" si="149"/>
        <v>0</v>
      </c>
      <c r="O331" s="9">
        <f t="shared" si="150"/>
        <v>0</v>
      </c>
      <c r="P331" s="4">
        <f t="shared" si="146"/>
        <v>0</v>
      </c>
      <c r="Q331" s="11">
        <f t="shared" si="147"/>
        <v>0</v>
      </c>
      <c r="R331" s="10">
        <f t="shared" si="151"/>
        <v>0</v>
      </c>
    </row>
    <row r="332" spans="1:18" s="8" customFormat="1">
      <c r="A332" s="73">
        <v>5</v>
      </c>
      <c r="B332" s="73"/>
      <c r="C332" s="12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3">
        <f t="shared" si="149"/>
        <v>0</v>
      </c>
      <c r="O332" s="9">
        <f t="shared" si="150"/>
        <v>0</v>
      </c>
      <c r="P332" s="4">
        <f t="shared" si="146"/>
        <v>0</v>
      </c>
      <c r="Q332" s="11">
        <f t="shared" si="147"/>
        <v>0</v>
      </c>
      <c r="R332" s="10">
        <f t="shared" si="151"/>
        <v>0</v>
      </c>
    </row>
    <row r="333" spans="1:18" s="8" customFormat="1">
      <c r="A333" s="73">
        <v>6</v>
      </c>
      <c r="B333" s="73"/>
      <c r="C333" s="12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3">
        <f t="shared" si="149"/>
        <v>0</v>
      </c>
      <c r="O333" s="9">
        <f t="shared" si="150"/>
        <v>0</v>
      </c>
      <c r="P333" s="4">
        <f t="shared" si="146"/>
        <v>0</v>
      </c>
      <c r="Q333" s="11">
        <f t="shared" si="147"/>
        <v>0</v>
      </c>
      <c r="R333" s="10">
        <f t="shared" si="151"/>
        <v>0</v>
      </c>
    </row>
    <row r="334" spans="1:18" s="8" customFormat="1">
      <c r="A334" s="73">
        <v>7</v>
      </c>
      <c r="B334" s="73"/>
      <c r="C334" s="12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3">
        <f t="shared" si="149"/>
        <v>0</v>
      </c>
      <c r="O334" s="9">
        <f t="shared" si="150"/>
        <v>0</v>
      </c>
      <c r="P334" s="4">
        <f t="shared" si="146"/>
        <v>0</v>
      </c>
      <c r="Q334" s="11">
        <f t="shared" si="147"/>
        <v>0</v>
      </c>
      <c r="R334" s="10">
        <f t="shared" si="151"/>
        <v>0</v>
      </c>
    </row>
    <row r="335" spans="1:18" s="8" customFormat="1">
      <c r="A335" s="73">
        <v>8</v>
      </c>
      <c r="B335" s="73"/>
      <c r="C335" s="12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3">
        <f t="shared" si="149"/>
        <v>0</v>
      </c>
      <c r="O335" s="9">
        <f t="shared" si="150"/>
        <v>0</v>
      </c>
      <c r="P335" s="4">
        <f t="shared" si="146"/>
        <v>0</v>
      </c>
      <c r="Q335" s="11">
        <f t="shared" si="147"/>
        <v>0</v>
      </c>
      <c r="R335" s="10">
        <f t="shared" si="151"/>
        <v>0</v>
      </c>
    </row>
    <row r="336" spans="1:18" s="8" customFormat="1">
      <c r="A336" s="73">
        <v>9</v>
      </c>
      <c r="B336" s="73"/>
      <c r="C336" s="12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3">
        <f t="shared" si="149"/>
        <v>0</v>
      </c>
      <c r="O336" s="9">
        <f t="shared" si="150"/>
        <v>0</v>
      </c>
      <c r="P336" s="4">
        <f t="shared" si="146"/>
        <v>0</v>
      </c>
      <c r="Q336" s="11">
        <f t="shared" si="147"/>
        <v>0</v>
      </c>
      <c r="R336" s="10">
        <f t="shared" si="151"/>
        <v>0</v>
      </c>
    </row>
    <row r="337" spans="1:18" s="8" customFormat="1">
      <c r="A337" s="73">
        <v>10</v>
      </c>
      <c r="B337" s="73"/>
      <c r="C337" s="12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3">
        <f t="shared" si="149"/>
        <v>0</v>
      </c>
      <c r="O337" s="9">
        <f t="shared" si="150"/>
        <v>0</v>
      </c>
      <c r="P337" s="4">
        <f t="shared" si="146"/>
        <v>0</v>
      </c>
      <c r="Q337" s="11">
        <f t="shared" si="147"/>
        <v>0</v>
      </c>
      <c r="R337" s="10">
        <f t="shared" si="151"/>
        <v>0</v>
      </c>
    </row>
    <row r="338" spans="1:18" s="8" customFormat="1">
      <c r="A338" s="82" t="s">
        <v>36</v>
      </c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4"/>
      <c r="R338" s="10">
        <f>SUM(R328:R337)</f>
        <v>155.56716</v>
      </c>
    </row>
    <row r="339" spans="1:18" s="8" customFormat="1" ht="15.75">
      <c r="A339" s="24" t="s">
        <v>37</v>
      </c>
      <c r="B339" s="2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7"/>
    </row>
    <row r="340" spans="1:18" s="8" customFormat="1">
      <c r="A340" s="49" t="s">
        <v>49</v>
      </c>
      <c r="B340" s="49"/>
      <c r="C340" s="49"/>
      <c r="D340" s="49"/>
      <c r="E340" s="49"/>
      <c r="F340" s="49"/>
      <c r="G340" s="49"/>
      <c r="H340" s="49"/>
      <c r="I340" s="49"/>
      <c r="J340" s="56"/>
      <c r="K340" s="56"/>
      <c r="L340" s="56"/>
      <c r="M340" s="56"/>
      <c r="N340" s="56"/>
      <c r="O340" s="56"/>
      <c r="P340" s="56"/>
      <c r="Q340" s="56"/>
      <c r="R340" s="57"/>
    </row>
    <row r="341" spans="1:18" s="8" customFormat="1">
      <c r="A341" s="49"/>
      <c r="B341" s="49"/>
      <c r="C341" s="49"/>
      <c r="D341" s="49"/>
      <c r="E341" s="49"/>
      <c r="F341" s="49"/>
      <c r="G341" s="49"/>
      <c r="H341" s="49"/>
      <c r="I341" s="49"/>
      <c r="J341" s="56"/>
      <c r="K341" s="56"/>
      <c r="L341" s="56"/>
      <c r="M341" s="56"/>
      <c r="N341" s="56"/>
      <c r="O341" s="56"/>
      <c r="P341" s="56"/>
      <c r="Q341" s="56"/>
      <c r="R341" s="57"/>
    </row>
    <row r="342" spans="1:18" s="8" customFormat="1">
      <c r="A342" s="76" t="s">
        <v>110</v>
      </c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68"/>
    </row>
    <row r="343" spans="1:18" s="8" customFormat="1" ht="18">
      <c r="A343" s="78" t="s">
        <v>27</v>
      </c>
      <c r="B343" s="79"/>
      <c r="C343" s="79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68"/>
    </row>
    <row r="344" spans="1:18" s="8" customFormat="1">
      <c r="A344" s="80" t="s">
        <v>111</v>
      </c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68"/>
    </row>
    <row r="345" spans="1:18" s="8" customFormat="1">
      <c r="A345" s="73">
        <v>1</v>
      </c>
      <c r="B345" s="73" t="s">
        <v>112</v>
      </c>
      <c r="C345" s="12" t="s">
        <v>62</v>
      </c>
      <c r="D345" s="73" t="s">
        <v>45</v>
      </c>
      <c r="E345" s="73">
        <v>1</v>
      </c>
      <c r="F345" s="73" t="s">
        <v>66</v>
      </c>
      <c r="G345" s="73">
        <v>1</v>
      </c>
      <c r="H345" s="73" t="s">
        <v>59</v>
      </c>
      <c r="I345" s="73"/>
      <c r="J345" s="73">
        <v>49</v>
      </c>
      <c r="K345" s="73">
        <v>13</v>
      </c>
      <c r="L345" s="73">
        <v>6</v>
      </c>
      <c r="M345" s="73"/>
      <c r="N345" s="3">
        <f t="shared" ref="N345" si="152">(IF(F345="OŽ",IF(L345=1,550.8,IF(L345=2,426.38,IF(L345=3,342.14,IF(L345=4,181.44,IF(L345=5,168.48,IF(L345=6,155.52,IF(L345=7,148.5,IF(L345=8,144,0))))))))+IF(L345&lt;=8,0,IF(L345&lt;=16,137.7,IF(L345&lt;=24,108,IF(L345&lt;=32,80.1,IF(L345&lt;=36,52.2,0)))))-IF(L345&lt;=8,0,IF(L345&lt;=16,(L345-9)*2.754,IF(L345&lt;=24,(L345-17)* 2.754,IF(L345&lt;=32,(L345-25)* 2.754,IF(L345&lt;=36,(L345-33)*2.754,0))))),0)+IF(F345="PČ",IF(L345=1,449,IF(L345=2,314.6,IF(L345=3,238,IF(L345=4,172,IF(L345=5,159,IF(L345=6,145,IF(L345=7,132,IF(L345=8,119,0))))))))+IF(L345&lt;=8,0,IF(L345&lt;=16,88,IF(L345&lt;=24,55,IF(L345&lt;=32,22,0))))-IF(L345&lt;=8,0,IF(L345&lt;=16,(L345-9)*2.245,IF(L345&lt;=24,(L345-17)*2.245,IF(L345&lt;=32,(L345-25)*2.245,0)))),0)+IF(F345="PČneol",IF(L345=1,85,IF(L345=2,64.61,IF(L345=3,50.76,IF(L345=4,16.25,IF(L345=5,15,IF(L345=6,13.75,IF(L345=7,12.5,IF(L345=8,11.25,0))))))))+IF(L345&lt;=8,0,IF(L345&lt;=16,9,0))-IF(L345&lt;=8,0,IF(L345&lt;=16,(L345-9)*0.425,0)),0)+IF(F345="PŽ",IF(L345=1,85,IF(L345=2,59.5,IF(L345=3,45,IF(L345=4,32.5,IF(L345=5,30,IF(L345=6,27.5,IF(L345=7,25,IF(L345=8,22.5,0))))))))+IF(L345&lt;=8,0,IF(L345&lt;=16,19,IF(L345&lt;=24,13,IF(L345&lt;=32,8,0))))-IF(L345&lt;=8,0,IF(L345&lt;=16,(L345-9)*0.425,IF(L345&lt;=24,(L345-17)*0.425,IF(L345&lt;=32,(L345-25)*0.425,0)))),0)+IF(F345="EČ",IF(L345=1,204,IF(L345=2,156.24,IF(L345=3,123.84,IF(L345=4,72,IF(L345=5,66,IF(L345=6,60,IF(L345=7,54,IF(L345=8,48,0))))))))+IF(L345&lt;=8,0,IF(L345&lt;=16,40,IF(L345&lt;=24,25,0)))-IF(L345&lt;=8,0,IF(L345&lt;=16,(L345-9)*1.02,IF(L345&lt;=24,(L345-17)*1.02,0))),0)+IF(F345="EČneol",IF(L345=1,68,IF(L345=2,51.69,IF(L345=3,40.61,IF(L345=4,13,IF(L345=5,12,IF(L345=6,11,IF(L345=7,10,IF(L345=8,9,0)))))))))+IF(F345="EŽ",IF(L345=1,68,IF(L345=2,47.6,IF(L345=3,36,IF(L345=4,18,IF(L345=5,16.5,IF(L345=6,15,IF(L345=7,13.5,IF(L345=8,12,0))))))))+IF(L345&lt;=8,0,IF(L345&lt;=16,10,IF(L345&lt;=24,6,0)))-IF(L345&lt;=8,0,IF(L345&lt;=16,(L345-9)*0.34,IF(L345&lt;=24,(L345-17)*0.34,0))),0)+IF(F345="PT",IF(L345=1,68,IF(L345=2,52.08,IF(L345=3,41.28,IF(L345=4,24,IF(L345=5,22,IF(L345=6,20,IF(L345=7,18,IF(L345=8,16,0))))))))+IF(L345&lt;=8,0,IF(L345&lt;=16,13,IF(L345&lt;=24,9,IF(L345&lt;=32,4,0))))-IF(L345&lt;=8,0,IF(L345&lt;=16,(L345-9)*0.34,IF(L345&lt;=24,(L345-17)*0.34,IF(L345&lt;=32,(L345-25)*0.34,0)))),0)+IF(F345="JOŽ",IF(L345=1,85,IF(L345=2,59.5,IF(L345=3,45,IF(L345=4,32.5,IF(L345=5,30,IF(L345=6,27.5,IF(L345=7,25,IF(L345=8,22.5,0))))))))+IF(L345&lt;=8,0,IF(L345&lt;=16,19,IF(L345&lt;=24,13,0)))-IF(L345&lt;=8,0,IF(L345&lt;=16,(L345-9)*0.425,IF(L345&lt;=24,(L345-17)*0.425,0))),0)+IF(F345="JPČ",IF(L345=1,68,IF(L345=2,47.6,IF(L345=3,36,IF(L345=4,26,IF(L345=5,24,IF(L345=6,22,IF(L345=7,20,IF(L345=8,18,0))))))))+IF(L345&lt;=8,0,IF(L345&lt;=16,13,IF(L345&lt;=24,9,0)))-IF(L345&lt;=8,0,IF(L345&lt;=16,(L345-9)*0.34,IF(L345&lt;=24,(L345-17)*0.34,0))),0)+IF(F345="JEČ",IF(L345=1,34,IF(L345=2,26.04,IF(L345=3,20.6,IF(L345=4,12,IF(L345=5,11,IF(L345=6,10,IF(L345=7,9,IF(L345=8,8,0))))))))+IF(L345&lt;=8,0,IF(L345&lt;=16,6,0))-IF(L345&lt;=8,0,IF(L345&lt;=16,(L345-9)*0.17,0)),0)+IF(F345="JEOF",IF(L345=1,34,IF(L345=2,26.04,IF(L345=3,20.6,IF(L345=4,12,IF(L345=5,11,IF(L345=6,10,IF(L345=7,9,IF(L345=8,8,0))))))))+IF(L345&lt;=8,0,IF(L345&lt;=16,6,0))-IF(L345&lt;=8,0,IF(L345&lt;=16,(L345-9)*0.17,0)),0)+IF(F345="JnPČ",IF(L345=1,51,IF(L345=2,35.7,IF(L345=3,27,IF(L345=4,19.5,IF(L345=5,18,IF(L345=6,16.5,IF(L345=7,15,IF(L345=8,13.5,0))))))))+IF(L345&lt;=8,0,IF(L345&lt;=16,10,0))-IF(L345&lt;=8,0,IF(L345&lt;=16,(L345-9)*0.255,0)),0)+IF(F345="JnEČ",IF(L345=1,25.5,IF(L345=2,19.53,IF(L345=3,15.48,IF(L345=4,9,IF(L345=5,8.25,IF(L345=6,7.5,IF(L345=7,6.75,IF(L345=8,6,0))))))))+IF(L345&lt;=8,0,IF(L345&lt;=16,5,0))-IF(L345&lt;=8,0,IF(L345&lt;=16,(L345-9)*0.1275,0)),0)+IF(F345="JčPČ",IF(L345=1,21.25,IF(L345=2,14.5,IF(L345=3,11.5,IF(L345=4,7,IF(L345=5,6.5,IF(L345=6,6,IF(L345=7,5.5,IF(L345=8,5,0))))))))+IF(L345&lt;=8,0,IF(L345&lt;=16,4,0))-IF(L345&lt;=8,0,IF(L345&lt;=16,(L345-9)*0.10625,0)),0)+IF(F345="JčEČ",IF(L345=1,17,IF(L345=2,13.02,IF(L345=3,10.32,IF(L345=4,6,IF(L345=5,5.5,IF(L345=6,5,IF(L345=7,4.5,IF(L345=8,4,0))))))))+IF(L345&lt;=8,0,IF(L345&lt;=16,3,0))-IF(L345&lt;=8,0,IF(L345&lt;=16,(L345-9)*0.085,0)),0)+IF(F345="NEAK",IF(L345=1,11.48,IF(L345=2,8.79,IF(L345=3,6.97,IF(L345=4,4.05,IF(L345=5,3.71,IF(L345=6,3.38,IF(L345=7,3.04,IF(L345=8,2.7,0))))))))+IF(L345&lt;=8,0,IF(L345&lt;=16,2,IF(L345&lt;=24,1.3,0)))-IF(L345&lt;=8,0,IF(L345&lt;=16,(L345-9)*0.0574,IF(L345&lt;=24,(L345-17)*0.0574,0))),0))*IF(L345&lt;4,1,IF(OR(F345="PČ",F345="PŽ",F345="PT"),IF(J345&lt;32,J345/32,1),1))* IF(L345&lt;4,1,IF(OR(F345="EČ",F345="EŽ",F345="JOŽ",F345="JPČ",F345="NEAK"),IF(J345&lt;24,J345/24,1),1))*IF(L345&lt;4,1,IF(OR(F345="PČneol",F345="JEČ",F345="JEOF",F345="JnPČ",F345="JnEČ",F345="JčPČ",F345="JčEČ"),IF(J345&lt;16,J345/16,1),1))*IF(L345&lt;4,1,IF(F345="EČneol",IF(J345&lt;8,J345/8,1),1))</f>
        <v>11</v>
      </c>
      <c r="O345" s="9">
        <f t="shared" ref="O345" si="153">IF(F345="OŽ",N345,IF(H345="Ne",IF(J345*0.3&lt;=J345-L345,N345,0),IF(J345*0.1&lt;=J345-L345,N345,0)))</f>
        <v>11</v>
      </c>
      <c r="P345" s="4">
        <f t="shared" ref="P345:P354" si="15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0.40799999999999997</v>
      </c>
      <c r="Q345" s="11">
        <f t="shared" ref="Q345:Q354" si="155">IF(ISERROR(P345*100/N345),0,(P345*100/N345))</f>
        <v>3.709090909090909</v>
      </c>
      <c r="R345" s="10">
        <f t="shared" ref="R345" si="156">IF(Q345&lt;=30,O345+P345,O345+O345*0.3)*IF(G345=1,0.4,IF(G345=2,0.75,IF(G345="1 (kas 4 m. 1 k. nerengiamos)",0.52,1)))*IF(D345="olimpinė",1,IF(M345="Ne",0.5,1))*IF(D345="olimpinė",1,IF(J345&lt;8,0,1))*E345*IF(D345="olimpinė",1,IF(K345&lt;16,0,1))*IF(I345&lt;=1,1,1/I345)*IF(OR(A$5="Lietuvos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6" spans="1:18" s="8" customFormat="1">
      <c r="A346" s="73">
        <v>2</v>
      </c>
      <c r="B346" s="73"/>
      <c r="C346" s="12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3">
        <f t="shared" ref="N346:N354" si="157">(IF(F346="OŽ",IF(L346=1,550.8,IF(L346=2,426.38,IF(L346=3,342.14,IF(L346=4,181.44,IF(L346=5,168.48,IF(L346=6,155.52,IF(L346=7,148.5,IF(L346=8,144,0))))))))+IF(L346&lt;=8,0,IF(L346&lt;=16,137.7,IF(L346&lt;=24,108,IF(L346&lt;=32,80.1,IF(L346&lt;=36,52.2,0)))))-IF(L346&lt;=8,0,IF(L346&lt;=16,(L346-9)*2.754,IF(L346&lt;=24,(L346-17)* 2.754,IF(L346&lt;=32,(L346-25)* 2.754,IF(L346&lt;=36,(L346-33)*2.754,0))))),0)+IF(F346="PČ",IF(L346=1,449,IF(L346=2,314.6,IF(L346=3,238,IF(L346=4,172,IF(L346=5,159,IF(L346=6,145,IF(L346=7,132,IF(L346=8,119,0))))))))+IF(L346&lt;=8,0,IF(L346&lt;=16,88,IF(L346&lt;=24,55,IF(L346&lt;=32,22,0))))-IF(L346&lt;=8,0,IF(L346&lt;=16,(L346-9)*2.245,IF(L346&lt;=24,(L346-17)*2.245,IF(L346&lt;=32,(L346-25)*2.245,0)))),0)+IF(F346="PČneol",IF(L346=1,85,IF(L346=2,64.61,IF(L346=3,50.76,IF(L346=4,16.25,IF(L346=5,15,IF(L346=6,13.75,IF(L346=7,12.5,IF(L346=8,11.25,0))))))))+IF(L346&lt;=8,0,IF(L346&lt;=16,9,0))-IF(L346&lt;=8,0,IF(L346&lt;=16,(L346-9)*0.425,0)),0)+IF(F346="PŽ",IF(L346=1,85,IF(L346=2,59.5,IF(L346=3,45,IF(L346=4,32.5,IF(L346=5,30,IF(L346=6,27.5,IF(L346=7,25,IF(L346=8,22.5,0))))))))+IF(L346&lt;=8,0,IF(L346&lt;=16,19,IF(L346&lt;=24,13,IF(L346&lt;=32,8,0))))-IF(L346&lt;=8,0,IF(L346&lt;=16,(L346-9)*0.425,IF(L346&lt;=24,(L346-17)*0.425,IF(L346&lt;=32,(L346-25)*0.425,0)))),0)+IF(F346="EČ",IF(L346=1,204,IF(L346=2,156.24,IF(L346=3,123.84,IF(L346=4,72,IF(L346=5,66,IF(L346=6,60,IF(L346=7,54,IF(L346=8,48,0))))))))+IF(L346&lt;=8,0,IF(L346&lt;=16,40,IF(L346&lt;=24,25,0)))-IF(L346&lt;=8,0,IF(L346&lt;=16,(L346-9)*1.02,IF(L346&lt;=24,(L346-17)*1.02,0))),0)+IF(F346="EČneol",IF(L346=1,68,IF(L346=2,51.69,IF(L346=3,40.61,IF(L346=4,13,IF(L346=5,12,IF(L346=6,11,IF(L346=7,10,IF(L346=8,9,0)))))))))+IF(F346="EŽ",IF(L346=1,68,IF(L346=2,47.6,IF(L346=3,36,IF(L346=4,18,IF(L346=5,16.5,IF(L346=6,15,IF(L346=7,13.5,IF(L346=8,12,0))))))))+IF(L346&lt;=8,0,IF(L346&lt;=16,10,IF(L346&lt;=24,6,0)))-IF(L346&lt;=8,0,IF(L346&lt;=16,(L346-9)*0.34,IF(L346&lt;=24,(L346-17)*0.34,0))),0)+IF(F346="PT",IF(L346=1,68,IF(L346=2,52.08,IF(L346=3,41.28,IF(L346=4,24,IF(L346=5,22,IF(L346=6,20,IF(L346=7,18,IF(L346=8,16,0))))))))+IF(L346&lt;=8,0,IF(L346&lt;=16,13,IF(L346&lt;=24,9,IF(L346&lt;=32,4,0))))-IF(L346&lt;=8,0,IF(L346&lt;=16,(L346-9)*0.34,IF(L346&lt;=24,(L346-17)*0.34,IF(L346&lt;=32,(L346-25)*0.34,0)))),0)+IF(F346="JOŽ",IF(L346=1,85,IF(L346=2,59.5,IF(L346=3,45,IF(L346=4,32.5,IF(L346=5,30,IF(L346=6,27.5,IF(L346=7,25,IF(L346=8,22.5,0))))))))+IF(L346&lt;=8,0,IF(L346&lt;=16,19,IF(L346&lt;=24,13,0)))-IF(L346&lt;=8,0,IF(L346&lt;=16,(L346-9)*0.425,IF(L346&lt;=24,(L346-17)*0.425,0))),0)+IF(F346="JPČ",IF(L346=1,68,IF(L346=2,47.6,IF(L346=3,36,IF(L346=4,26,IF(L346=5,24,IF(L346=6,22,IF(L346=7,20,IF(L346=8,18,0))))))))+IF(L346&lt;=8,0,IF(L346&lt;=16,13,IF(L346&lt;=24,9,0)))-IF(L346&lt;=8,0,IF(L346&lt;=16,(L346-9)*0.34,IF(L346&lt;=24,(L346-17)*0.34,0))),0)+IF(F346="JEČ",IF(L346=1,34,IF(L346=2,26.04,IF(L346=3,20.6,IF(L346=4,12,IF(L346=5,11,IF(L346=6,10,IF(L346=7,9,IF(L346=8,8,0))))))))+IF(L346&lt;=8,0,IF(L346&lt;=16,6,0))-IF(L346&lt;=8,0,IF(L346&lt;=16,(L346-9)*0.17,0)),0)+IF(F346="JEOF",IF(L346=1,34,IF(L346=2,26.04,IF(L346=3,20.6,IF(L346=4,12,IF(L346=5,11,IF(L346=6,10,IF(L346=7,9,IF(L346=8,8,0))))))))+IF(L346&lt;=8,0,IF(L346&lt;=16,6,0))-IF(L346&lt;=8,0,IF(L346&lt;=16,(L346-9)*0.17,0)),0)+IF(F346="JnPČ",IF(L346=1,51,IF(L346=2,35.7,IF(L346=3,27,IF(L346=4,19.5,IF(L346=5,18,IF(L346=6,16.5,IF(L346=7,15,IF(L346=8,13.5,0))))))))+IF(L346&lt;=8,0,IF(L346&lt;=16,10,0))-IF(L346&lt;=8,0,IF(L346&lt;=16,(L346-9)*0.255,0)),0)+IF(F346="JnEČ",IF(L346=1,25.5,IF(L346=2,19.53,IF(L346=3,15.48,IF(L346=4,9,IF(L346=5,8.25,IF(L346=6,7.5,IF(L346=7,6.75,IF(L346=8,6,0))))))))+IF(L346&lt;=8,0,IF(L346&lt;=16,5,0))-IF(L346&lt;=8,0,IF(L346&lt;=16,(L346-9)*0.1275,0)),0)+IF(F346="JčPČ",IF(L346=1,21.25,IF(L346=2,14.5,IF(L346=3,11.5,IF(L346=4,7,IF(L346=5,6.5,IF(L346=6,6,IF(L346=7,5.5,IF(L346=8,5,0))))))))+IF(L346&lt;=8,0,IF(L346&lt;=16,4,0))-IF(L346&lt;=8,0,IF(L346&lt;=16,(L346-9)*0.10625,0)),0)+IF(F346="JčEČ",IF(L346=1,17,IF(L346=2,13.02,IF(L346=3,10.32,IF(L346=4,6,IF(L346=5,5.5,IF(L346=6,5,IF(L346=7,4.5,IF(L346=8,4,0))))))))+IF(L346&lt;=8,0,IF(L346&lt;=16,3,0))-IF(L346&lt;=8,0,IF(L346&lt;=16,(L346-9)*0.085,0)),0)+IF(F346="NEAK",IF(L346=1,11.48,IF(L346=2,8.79,IF(L346=3,6.97,IF(L346=4,4.05,IF(L346=5,3.71,IF(L346=6,3.38,IF(L346=7,3.04,IF(L346=8,2.7,0))))))))+IF(L346&lt;=8,0,IF(L346&lt;=16,2,IF(L346&lt;=24,1.3,0)))-IF(L346&lt;=8,0,IF(L346&lt;=16,(L346-9)*0.0574,IF(L346&lt;=24,(L346-17)*0.0574,0))),0))*IF(L346&lt;0,1,IF(OR(F346="PČ",F346="PŽ",F346="PT"),IF(J346&lt;32,J346/32,1),1))* IF(L346&lt;0,1,IF(OR(F346="EČ",F346="EŽ",F346="JOŽ",F346="JPČ",F346="NEAK"),IF(J346&lt;24,J346/24,1),1))*IF(L346&lt;0,1,IF(OR(F346="PČneol",F346="JEČ",F346="JEOF",F346="JnPČ",F346="JnEČ",F346="JčPČ",F346="JčEČ"),IF(J346&lt;16,J346/16,1),1))*IF(L346&lt;0,1,IF(F346="EČneol",IF(J346&lt;8,J346/8,1),1))</f>
        <v>0</v>
      </c>
      <c r="O346" s="9">
        <f t="shared" ref="O346:O354" si="158">IF(F346="OŽ",N346,IF(H346="Ne",IF(J346*0.3&lt;J346-L346,N346,0),IF(J346*0.1&lt;J346-L346,N346,0)))</f>
        <v>0</v>
      </c>
      <c r="P346" s="4">
        <f t="shared" si="154"/>
        <v>0</v>
      </c>
      <c r="Q346" s="11">
        <f t="shared" si="155"/>
        <v>0</v>
      </c>
      <c r="R346" s="10">
        <f t="shared" ref="R346:R354" si="159">IF(Q346&lt;=30,O346+P346,O346+O346*0.3)*IF(G346=1,0.4,IF(G346=2,0.75,IF(G346="1 (kas 4 m. 1 k. nerengiamos)",0.52,1)))*IF(D346="olimpinė",1,IF(M346="Ne",0.5,1))*IF(OR(A$5="Lietuvos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federacija"),IF(OR(J346&lt;8,K346&lt;16),0,1),1)*E346*IF(I346&lt;=1,1,1/I346)*IF(OR(A$5="Lietuvos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7" spans="1:18" s="8" customFormat="1">
      <c r="A347" s="73">
        <v>3</v>
      </c>
      <c r="B347" s="73"/>
      <c r="C347" s="12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3">
        <f t="shared" si="157"/>
        <v>0</v>
      </c>
      <c r="O347" s="9">
        <f t="shared" si="158"/>
        <v>0</v>
      </c>
      <c r="P347" s="4">
        <f t="shared" si="154"/>
        <v>0</v>
      </c>
      <c r="Q347" s="11">
        <f t="shared" si="155"/>
        <v>0</v>
      </c>
      <c r="R347" s="10">
        <f t="shared" si="159"/>
        <v>0</v>
      </c>
    </row>
    <row r="348" spans="1:18" s="8" customFormat="1">
      <c r="A348" s="73">
        <v>4</v>
      </c>
      <c r="B348" s="73"/>
      <c r="C348" s="12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3">
        <f t="shared" si="157"/>
        <v>0</v>
      </c>
      <c r="O348" s="9">
        <f t="shared" si="158"/>
        <v>0</v>
      </c>
      <c r="P348" s="4">
        <f t="shared" si="154"/>
        <v>0</v>
      </c>
      <c r="Q348" s="11">
        <f t="shared" si="155"/>
        <v>0</v>
      </c>
      <c r="R348" s="10">
        <f t="shared" si="159"/>
        <v>0</v>
      </c>
    </row>
    <row r="349" spans="1:18" s="8" customFormat="1">
      <c r="A349" s="73">
        <v>5</v>
      </c>
      <c r="B349" s="73"/>
      <c r="C349" s="12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3">
        <f t="shared" si="157"/>
        <v>0</v>
      </c>
      <c r="O349" s="9">
        <f t="shared" si="158"/>
        <v>0</v>
      </c>
      <c r="P349" s="4">
        <f t="shared" si="154"/>
        <v>0</v>
      </c>
      <c r="Q349" s="11">
        <f t="shared" si="155"/>
        <v>0</v>
      </c>
      <c r="R349" s="10">
        <f t="shared" si="159"/>
        <v>0</v>
      </c>
    </row>
    <row r="350" spans="1:18" s="8" customFormat="1">
      <c r="A350" s="73">
        <v>6</v>
      </c>
      <c r="B350" s="73"/>
      <c r="C350" s="12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3">
        <f t="shared" si="157"/>
        <v>0</v>
      </c>
      <c r="O350" s="9">
        <f t="shared" si="158"/>
        <v>0</v>
      </c>
      <c r="P350" s="4">
        <f t="shared" si="154"/>
        <v>0</v>
      </c>
      <c r="Q350" s="11">
        <f t="shared" si="155"/>
        <v>0</v>
      </c>
      <c r="R350" s="10">
        <f t="shared" si="159"/>
        <v>0</v>
      </c>
    </row>
    <row r="351" spans="1:18" s="8" customFormat="1">
      <c r="A351" s="73">
        <v>7</v>
      </c>
      <c r="B351" s="73"/>
      <c r="C351" s="12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3">
        <f t="shared" si="157"/>
        <v>0</v>
      </c>
      <c r="O351" s="9">
        <f t="shared" si="158"/>
        <v>0</v>
      </c>
      <c r="P351" s="4">
        <f t="shared" si="154"/>
        <v>0</v>
      </c>
      <c r="Q351" s="11">
        <f t="shared" si="155"/>
        <v>0</v>
      </c>
      <c r="R351" s="10">
        <f t="shared" si="159"/>
        <v>0</v>
      </c>
    </row>
    <row r="352" spans="1:18" s="8" customFormat="1">
      <c r="A352" s="73">
        <v>8</v>
      </c>
      <c r="B352" s="73"/>
      <c r="C352" s="12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3">
        <f t="shared" si="157"/>
        <v>0</v>
      </c>
      <c r="O352" s="9">
        <f t="shared" si="158"/>
        <v>0</v>
      </c>
      <c r="P352" s="4">
        <f t="shared" si="154"/>
        <v>0</v>
      </c>
      <c r="Q352" s="11">
        <f t="shared" si="155"/>
        <v>0</v>
      </c>
      <c r="R352" s="10">
        <f t="shared" si="159"/>
        <v>0</v>
      </c>
    </row>
    <row r="353" spans="1:18" s="8" customFormat="1">
      <c r="A353" s="73">
        <v>9</v>
      </c>
      <c r="B353" s="73"/>
      <c r="C353" s="12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3">
        <f t="shared" si="157"/>
        <v>0</v>
      </c>
      <c r="O353" s="9">
        <f t="shared" si="158"/>
        <v>0</v>
      </c>
      <c r="P353" s="4">
        <f t="shared" si="154"/>
        <v>0</v>
      </c>
      <c r="Q353" s="11">
        <f t="shared" si="155"/>
        <v>0</v>
      </c>
      <c r="R353" s="10">
        <f t="shared" si="159"/>
        <v>0</v>
      </c>
    </row>
    <row r="354" spans="1:18" s="8" customFormat="1">
      <c r="A354" s="73">
        <v>10</v>
      </c>
      <c r="B354" s="73"/>
      <c r="C354" s="12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3">
        <f t="shared" si="157"/>
        <v>0</v>
      </c>
      <c r="O354" s="9">
        <f t="shared" si="158"/>
        <v>0</v>
      </c>
      <c r="P354" s="4">
        <f t="shared" si="154"/>
        <v>0</v>
      </c>
      <c r="Q354" s="11">
        <f t="shared" si="155"/>
        <v>0</v>
      </c>
      <c r="R354" s="10">
        <f t="shared" si="159"/>
        <v>0</v>
      </c>
    </row>
    <row r="355" spans="1:18" s="8" customFormat="1">
      <c r="A355" s="82" t="s">
        <v>36</v>
      </c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4"/>
      <c r="R355" s="10">
        <f>SUM(R345:R354)</f>
        <v>0</v>
      </c>
    </row>
    <row r="356" spans="1:18" s="8" customFormat="1" ht="15.75">
      <c r="A356" s="24" t="s">
        <v>37</v>
      </c>
      <c r="B356" s="2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7"/>
    </row>
    <row r="357" spans="1:18" s="8" customFormat="1">
      <c r="A357" s="49" t="s">
        <v>49</v>
      </c>
      <c r="B357" s="49"/>
      <c r="C357" s="49"/>
      <c r="D357" s="49"/>
      <c r="E357" s="49"/>
      <c r="F357" s="49"/>
      <c r="G357" s="49"/>
      <c r="H357" s="49"/>
      <c r="I357" s="49"/>
      <c r="J357" s="56"/>
      <c r="K357" s="56"/>
      <c r="L357" s="56"/>
      <c r="M357" s="56"/>
      <c r="N357" s="56"/>
      <c r="O357" s="56"/>
      <c r="P357" s="56"/>
      <c r="Q357" s="56"/>
      <c r="R357" s="57"/>
    </row>
    <row r="358" spans="1:18" s="8" customFormat="1">
      <c r="A358" s="49"/>
      <c r="B358" s="49"/>
      <c r="C358" s="49"/>
      <c r="D358" s="49"/>
      <c r="E358" s="49"/>
      <c r="F358" s="49"/>
      <c r="G358" s="49"/>
      <c r="H358" s="49"/>
      <c r="I358" s="49"/>
      <c r="J358" s="56"/>
      <c r="K358" s="56"/>
      <c r="L358" s="56"/>
      <c r="M358" s="56"/>
      <c r="N358" s="56"/>
      <c r="O358" s="56"/>
      <c r="P358" s="56"/>
      <c r="Q358" s="56"/>
      <c r="R358" s="57"/>
    </row>
    <row r="359" spans="1:18" s="8" customFormat="1">
      <c r="A359" s="76" t="s">
        <v>113</v>
      </c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68"/>
    </row>
    <row r="360" spans="1:18" s="8" customFormat="1" ht="18">
      <c r="A360" s="78" t="s">
        <v>27</v>
      </c>
      <c r="B360" s="79"/>
      <c r="C360" s="79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68"/>
    </row>
    <row r="361" spans="1:18" s="8" customFormat="1">
      <c r="A361" s="80" t="s">
        <v>114</v>
      </c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68"/>
    </row>
    <row r="362" spans="1:18" s="8" customFormat="1">
      <c r="A362" s="73">
        <v>1</v>
      </c>
      <c r="B362" s="73" t="s">
        <v>115</v>
      </c>
      <c r="C362" s="12" t="s">
        <v>116</v>
      </c>
      <c r="D362" s="73" t="s">
        <v>45</v>
      </c>
      <c r="E362" s="73">
        <v>1</v>
      </c>
      <c r="F362" s="73" t="s">
        <v>66</v>
      </c>
      <c r="G362" s="73">
        <v>1</v>
      </c>
      <c r="H362" s="73" t="s">
        <v>59</v>
      </c>
      <c r="I362" s="73"/>
      <c r="J362" s="73">
        <v>6</v>
      </c>
      <c r="K362" s="73">
        <v>4</v>
      </c>
      <c r="L362" s="73">
        <v>1</v>
      </c>
      <c r="M362" s="73"/>
      <c r="N362" s="3">
        <f t="shared" ref="N362:N365" si="160">(IF(F362="OŽ",IF(L362=1,550.8,IF(L362=2,426.38,IF(L362=3,342.14,IF(L362=4,181.44,IF(L362=5,168.48,IF(L362=6,155.52,IF(L362=7,148.5,IF(L362=8,144,0))))))))+IF(L362&lt;=8,0,IF(L362&lt;=16,137.7,IF(L362&lt;=24,108,IF(L362&lt;=32,80.1,IF(L362&lt;=36,52.2,0)))))-IF(L362&lt;=8,0,IF(L362&lt;=16,(L362-9)*2.754,IF(L362&lt;=24,(L362-17)* 2.754,IF(L362&lt;=32,(L362-25)* 2.754,IF(L362&lt;=36,(L362-33)*2.754,0))))),0)+IF(F362="PČ",IF(L362=1,449,IF(L362=2,314.6,IF(L362=3,238,IF(L362=4,172,IF(L362=5,159,IF(L362=6,145,IF(L362=7,132,IF(L362=8,119,0))))))))+IF(L362&lt;=8,0,IF(L362&lt;=16,88,IF(L362&lt;=24,55,IF(L362&lt;=32,22,0))))-IF(L362&lt;=8,0,IF(L362&lt;=16,(L362-9)*2.245,IF(L362&lt;=24,(L362-17)*2.245,IF(L362&lt;=32,(L362-25)*2.245,0)))),0)+IF(F362="PČneol",IF(L362=1,85,IF(L362=2,64.61,IF(L362=3,50.76,IF(L362=4,16.25,IF(L362=5,15,IF(L362=6,13.75,IF(L362=7,12.5,IF(L362=8,11.25,0))))))))+IF(L362&lt;=8,0,IF(L362&lt;=16,9,0))-IF(L362&lt;=8,0,IF(L362&lt;=16,(L362-9)*0.425,0)),0)+IF(F362="PŽ",IF(L362=1,85,IF(L362=2,59.5,IF(L362=3,45,IF(L362=4,32.5,IF(L362=5,30,IF(L362=6,27.5,IF(L362=7,25,IF(L362=8,22.5,0))))))))+IF(L362&lt;=8,0,IF(L362&lt;=16,19,IF(L362&lt;=24,13,IF(L362&lt;=32,8,0))))-IF(L362&lt;=8,0,IF(L362&lt;=16,(L362-9)*0.425,IF(L362&lt;=24,(L362-17)*0.425,IF(L362&lt;=32,(L362-25)*0.425,0)))),0)+IF(F362="EČ",IF(L362=1,204,IF(L362=2,156.24,IF(L362=3,123.84,IF(L362=4,72,IF(L362=5,66,IF(L362=6,60,IF(L362=7,54,IF(L362=8,48,0))))))))+IF(L362&lt;=8,0,IF(L362&lt;=16,40,IF(L362&lt;=24,25,0)))-IF(L362&lt;=8,0,IF(L362&lt;=16,(L362-9)*1.02,IF(L362&lt;=24,(L362-17)*1.02,0))),0)+IF(F362="EČneol",IF(L362=1,68,IF(L362=2,51.69,IF(L362=3,40.61,IF(L362=4,13,IF(L362=5,12,IF(L362=6,11,IF(L362=7,10,IF(L362=8,9,0)))))))))+IF(F362="EŽ",IF(L362=1,68,IF(L362=2,47.6,IF(L362=3,36,IF(L362=4,18,IF(L362=5,16.5,IF(L362=6,15,IF(L362=7,13.5,IF(L362=8,12,0))))))))+IF(L362&lt;=8,0,IF(L362&lt;=16,10,IF(L362&lt;=24,6,0)))-IF(L362&lt;=8,0,IF(L362&lt;=16,(L362-9)*0.34,IF(L362&lt;=24,(L362-17)*0.34,0))),0)+IF(F362="PT",IF(L362=1,68,IF(L362=2,52.08,IF(L362=3,41.28,IF(L362=4,24,IF(L362=5,22,IF(L362=6,20,IF(L362=7,18,IF(L362=8,16,0))))))))+IF(L362&lt;=8,0,IF(L362&lt;=16,13,IF(L362&lt;=24,9,IF(L362&lt;=32,4,0))))-IF(L362&lt;=8,0,IF(L362&lt;=16,(L362-9)*0.34,IF(L362&lt;=24,(L362-17)*0.34,IF(L362&lt;=32,(L362-25)*0.34,0)))),0)+IF(F362="JOŽ",IF(L362=1,85,IF(L362=2,59.5,IF(L362=3,45,IF(L362=4,32.5,IF(L362=5,30,IF(L362=6,27.5,IF(L362=7,25,IF(L362=8,22.5,0))))))))+IF(L362&lt;=8,0,IF(L362&lt;=16,19,IF(L362&lt;=24,13,0)))-IF(L362&lt;=8,0,IF(L362&lt;=16,(L362-9)*0.425,IF(L362&lt;=24,(L362-17)*0.425,0))),0)+IF(F362="JPČ",IF(L362=1,68,IF(L362=2,47.6,IF(L362=3,36,IF(L362=4,26,IF(L362=5,24,IF(L362=6,22,IF(L362=7,20,IF(L362=8,18,0))))))))+IF(L362&lt;=8,0,IF(L362&lt;=16,13,IF(L362&lt;=24,9,0)))-IF(L362&lt;=8,0,IF(L362&lt;=16,(L362-9)*0.34,IF(L362&lt;=24,(L362-17)*0.34,0))),0)+IF(F362="JEČ",IF(L362=1,34,IF(L362=2,26.04,IF(L362=3,20.6,IF(L362=4,12,IF(L362=5,11,IF(L362=6,10,IF(L362=7,9,IF(L362=8,8,0))))))))+IF(L362&lt;=8,0,IF(L362&lt;=16,6,0))-IF(L362&lt;=8,0,IF(L362&lt;=16,(L362-9)*0.17,0)),0)+IF(F362="JEOF",IF(L362=1,34,IF(L362=2,26.04,IF(L362=3,20.6,IF(L362=4,12,IF(L362=5,11,IF(L362=6,10,IF(L362=7,9,IF(L362=8,8,0))))))))+IF(L362&lt;=8,0,IF(L362&lt;=16,6,0))-IF(L362&lt;=8,0,IF(L362&lt;=16,(L362-9)*0.17,0)),0)+IF(F362="JnPČ",IF(L362=1,51,IF(L362=2,35.7,IF(L362=3,27,IF(L362=4,19.5,IF(L362=5,18,IF(L362=6,16.5,IF(L362=7,15,IF(L362=8,13.5,0))))))))+IF(L362&lt;=8,0,IF(L362&lt;=16,10,0))-IF(L362&lt;=8,0,IF(L362&lt;=16,(L362-9)*0.255,0)),0)+IF(F362="JnEČ",IF(L362=1,25.5,IF(L362=2,19.53,IF(L362=3,15.48,IF(L362=4,9,IF(L362=5,8.25,IF(L362=6,7.5,IF(L362=7,6.75,IF(L362=8,6,0))))))))+IF(L362&lt;=8,0,IF(L362&lt;=16,5,0))-IF(L362&lt;=8,0,IF(L362&lt;=16,(L362-9)*0.1275,0)),0)+IF(F362="JčPČ",IF(L362=1,21.25,IF(L362=2,14.5,IF(L362=3,11.5,IF(L362=4,7,IF(L362=5,6.5,IF(L362=6,6,IF(L362=7,5.5,IF(L362=8,5,0))))))))+IF(L362&lt;=8,0,IF(L362&lt;=16,4,0))-IF(L362&lt;=8,0,IF(L362&lt;=16,(L362-9)*0.10625,0)),0)+IF(F362="JčEČ",IF(L362=1,17,IF(L362=2,13.02,IF(L362=3,10.32,IF(L362=4,6,IF(L362=5,5.5,IF(L362=6,5,IF(L362=7,4.5,IF(L362=8,4,0))))))))+IF(L362&lt;=8,0,IF(L362&lt;=16,3,0))-IF(L362&lt;=8,0,IF(L362&lt;=16,(L362-9)*0.085,0)),0)+IF(F362="NEAK",IF(L362=1,11.48,IF(L362=2,8.79,IF(L362=3,6.97,IF(L362=4,4.05,IF(L362=5,3.71,IF(L362=6,3.38,IF(L362=7,3.04,IF(L362=8,2.7,0))))))))+IF(L362&lt;=8,0,IF(L362&lt;=16,2,IF(L362&lt;=24,1.3,0)))-IF(L362&lt;=8,0,IF(L362&lt;=16,(L362-9)*0.0574,IF(L362&lt;=24,(L362-17)*0.0574,0))),0))*IF(L362&lt;4,1,IF(OR(F362="PČ",F362="PŽ",F362="PT"),IF(J362&lt;32,J362/32,1),1))* IF(L362&lt;4,1,IF(OR(F362="EČ",F362="EŽ",F362="JOŽ",F362="JPČ",F362="NEAK"),IF(J362&lt;24,J362/24,1),1))*IF(L362&lt;4,1,IF(OR(F362="PČneol",F362="JEČ",F362="JEOF",F362="JnPČ",F362="JnEČ",F362="JčPČ",F362="JčEČ"),IF(J362&lt;16,J362/16,1),1))*IF(L362&lt;4,1,IF(F362="EČneol",IF(J362&lt;8,J362/8,1),1))</f>
        <v>68</v>
      </c>
      <c r="O362" s="9">
        <f t="shared" ref="O362:O365" si="161">IF(F362="OŽ",N362,IF(H362="Ne",IF(J362*0.3&lt;=J362-L362,N362,0),IF(J362*0.1&lt;=J362-L362,N362,0)))</f>
        <v>68</v>
      </c>
      <c r="P362" s="4">
        <f t="shared" ref="P362:P371" si="162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1.02</v>
      </c>
      <c r="Q362" s="11">
        <f t="shared" ref="Q362:Q371" si="163">IF(ISERROR(P362*100/N362),0,(P362*100/N362))</f>
        <v>1.5</v>
      </c>
      <c r="R362" s="10">
        <f t="shared" ref="R362:R365" si="164">IF(Q362&lt;=30,O362+P362,O362+O362*0.3)*IF(G362=1,0.4,IF(G362=2,0.75,IF(G362="1 (kas 4 m. 1 k. nerengiamos)",0.52,1)))*IF(D362="olimpinė",1,IF(M362="Ne",0.5,1))*IF(D362="olimpinė",1,IF(J362&lt;8,0,1))*E362*IF(D362="olimpinė",1,IF(K362&lt;16,0,1))*IF(I362&lt;=1,1,1/I362)*IF(OR(A$5="Lietuvos golfo federacija",A$5="Lietuvos lengvosios atletikos federacija",A$5="Lietuvos šaudymo sporto sąjunga",A$5="Lietuvos lankininkų federacija", A$5="Lietuvos šiuolaikinės penkiakovės federacija"),1.02,1)*IF(OR(A$5="Lietuvos dviračių sporto federacija",A$5="Lietuvos biatlono federacija",A$5="Asociacija „Hockey Lithuania“",A$5=" Lietuvos nacionalinė slidinėjimo asociacija"),1.04,1)*IF(OR(A$5="Lietuvos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3" spans="1:18" s="8" customFormat="1">
      <c r="A363" s="73">
        <v>2</v>
      </c>
      <c r="B363" s="73" t="s">
        <v>117</v>
      </c>
      <c r="C363" s="12" t="s">
        <v>116</v>
      </c>
      <c r="D363" s="73" t="s">
        <v>45</v>
      </c>
      <c r="E363" s="73">
        <v>1</v>
      </c>
      <c r="F363" s="73" t="s">
        <v>66</v>
      </c>
      <c r="G363" s="73">
        <v>1</v>
      </c>
      <c r="H363" s="73" t="s">
        <v>59</v>
      </c>
      <c r="I363" s="73"/>
      <c r="J363" s="73">
        <v>10</v>
      </c>
      <c r="K363" s="73">
        <v>6</v>
      </c>
      <c r="L363" s="73">
        <v>3</v>
      </c>
      <c r="M363" s="73"/>
      <c r="N363" s="3">
        <f t="shared" si="160"/>
        <v>40.61</v>
      </c>
      <c r="O363" s="9">
        <f t="shared" si="161"/>
        <v>40.61</v>
      </c>
      <c r="P363" s="4">
        <f t="shared" si="162"/>
        <v>1.02</v>
      </c>
      <c r="Q363" s="11">
        <f t="shared" si="163"/>
        <v>2.511696626446688</v>
      </c>
      <c r="R363" s="10">
        <f t="shared" si="164"/>
        <v>0</v>
      </c>
    </row>
    <row r="364" spans="1:18" s="8" customFormat="1">
      <c r="A364" s="73">
        <v>3</v>
      </c>
      <c r="B364" s="73" t="s">
        <v>118</v>
      </c>
      <c r="C364" s="12" t="s">
        <v>116</v>
      </c>
      <c r="D364" s="73" t="s">
        <v>45</v>
      </c>
      <c r="E364" s="73">
        <v>1</v>
      </c>
      <c r="F364" s="73" t="s">
        <v>66</v>
      </c>
      <c r="G364" s="73">
        <v>1</v>
      </c>
      <c r="H364" s="73" t="s">
        <v>59</v>
      </c>
      <c r="I364" s="73"/>
      <c r="J364" s="73">
        <v>10</v>
      </c>
      <c r="K364" s="73">
        <v>6</v>
      </c>
      <c r="L364" s="73">
        <v>8</v>
      </c>
      <c r="M364" s="73"/>
      <c r="N364" s="3">
        <f t="shared" si="160"/>
        <v>9</v>
      </c>
      <c r="O364" s="9">
        <f t="shared" si="161"/>
        <v>0</v>
      </c>
      <c r="P364" s="4">
        <f t="shared" si="162"/>
        <v>0</v>
      </c>
      <c r="Q364" s="11">
        <f t="shared" si="163"/>
        <v>0</v>
      </c>
      <c r="R364" s="10">
        <f t="shared" si="164"/>
        <v>0</v>
      </c>
    </row>
    <row r="365" spans="1:18" s="8" customFormat="1">
      <c r="A365" s="73">
        <v>4</v>
      </c>
      <c r="B365" s="73" t="s">
        <v>119</v>
      </c>
      <c r="C365" s="12" t="s">
        <v>116</v>
      </c>
      <c r="D365" s="73" t="s">
        <v>45</v>
      </c>
      <c r="E365" s="73">
        <v>1</v>
      </c>
      <c r="F365" s="73" t="s">
        <v>66</v>
      </c>
      <c r="G365" s="73">
        <v>1</v>
      </c>
      <c r="H365" s="73" t="s">
        <v>59</v>
      </c>
      <c r="I365" s="73"/>
      <c r="J365" s="73">
        <v>18</v>
      </c>
      <c r="K365" s="73">
        <v>8</v>
      </c>
      <c r="L365" s="73">
        <v>2</v>
      </c>
      <c r="M365" s="73"/>
      <c r="N365" s="3">
        <f t="shared" si="160"/>
        <v>51.69</v>
      </c>
      <c r="O365" s="9">
        <f t="shared" si="161"/>
        <v>51.69</v>
      </c>
      <c r="P365" s="4">
        <f t="shared" si="162"/>
        <v>1.224</v>
      </c>
      <c r="Q365" s="11">
        <f t="shared" si="163"/>
        <v>2.3679628554846199</v>
      </c>
      <c r="R365" s="10">
        <f t="shared" si="164"/>
        <v>0</v>
      </c>
    </row>
    <row r="366" spans="1:18" s="8" customFormat="1">
      <c r="A366" s="73">
        <v>5</v>
      </c>
      <c r="B366" s="73"/>
      <c r="C366" s="12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3">
        <f t="shared" ref="N366:N371" si="165">(IF(F366="OŽ",IF(L366=1,550.8,IF(L366=2,426.38,IF(L366=3,342.14,IF(L366=4,181.44,IF(L366=5,168.48,IF(L366=6,155.52,IF(L366=7,148.5,IF(L366=8,144,0))))))))+IF(L366&lt;=8,0,IF(L366&lt;=16,137.7,IF(L366&lt;=24,108,IF(L366&lt;=32,80.1,IF(L366&lt;=36,52.2,0)))))-IF(L366&lt;=8,0,IF(L366&lt;=16,(L366-9)*2.754,IF(L366&lt;=24,(L366-17)* 2.754,IF(L366&lt;=32,(L366-25)* 2.754,IF(L366&lt;=36,(L366-33)*2.754,0))))),0)+IF(F366="PČ",IF(L366=1,449,IF(L366=2,314.6,IF(L366=3,238,IF(L366=4,172,IF(L366=5,159,IF(L366=6,145,IF(L366=7,132,IF(L366=8,119,0))))))))+IF(L366&lt;=8,0,IF(L366&lt;=16,88,IF(L366&lt;=24,55,IF(L366&lt;=32,22,0))))-IF(L366&lt;=8,0,IF(L366&lt;=16,(L366-9)*2.245,IF(L366&lt;=24,(L366-17)*2.245,IF(L366&lt;=32,(L366-25)*2.245,0)))),0)+IF(F366="PČneol",IF(L366=1,85,IF(L366=2,64.61,IF(L366=3,50.76,IF(L366=4,16.25,IF(L366=5,15,IF(L366=6,13.75,IF(L366=7,12.5,IF(L366=8,11.25,0))))))))+IF(L366&lt;=8,0,IF(L366&lt;=16,9,0))-IF(L366&lt;=8,0,IF(L366&lt;=16,(L366-9)*0.425,0)),0)+IF(F366="PŽ",IF(L366=1,85,IF(L366=2,59.5,IF(L366=3,45,IF(L366=4,32.5,IF(L366=5,30,IF(L366=6,27.5,IF(L366=7,25,IF(L366=8,22.5,0))))))))+IF(L366&lt;=8,0,IF(L366&lt;=16,19,IF(L366&lt;=24,13,IF(L366&lt;=32,8,0))))-IF(L366&lt;=8,0,IF(L366&lt;=16,(L366-9)*0.425,IF(L366&lt;=24,(L366-17)*0.425,IF(L366&lt;=32,(L366-25)*0.425,0)))),0)+IF(F366="EČ",IF(L366=1,204,IF(L366=2,156.24,IF(L366=3,123.84,IF(L366=4,72,IF(L366=5,66,IF(L366=6,60,IF(L366=7,54,IF(L366=8,48,0))))))))+IF(L366&lt;=8,0,IF(L366&lt;=16,40,IF(L366&lt;=24,25,0)))-IF(L366&lt;=8,0,IF(L366&lt;=16,(L366-9)*1.02,IF(L366&lt;=24,(L366-17)*1.02,0))),0)+IF(F366="EČneol",IF(L366=1,68,IF(L366=2,51.69,IF(L366=3,40.61,IF(L366=4,13,IF(L366=5,12,IF(L366=6,11,IF(L366=7,10,IF(L366=8,9,0)))))))))+IF(F366="EŽ",IF(L366=1,68,IF(L366=2,47.6,IF(L366=3,36,IF(L366=4,18,IF(L366=5,16.5,IF(L366=6,15,IF(L366=7,13.5,IF(L366=8,12,0))))))))+IF(L366&lt;=8,0,IF(L366&lt;=16,10,IF(L366&lt;=24,6,0)))-IF(L366&lt;=8,0,IF(L366&lt;=16,(L366-9)*0.34,IF(L366&lt;=24,(L366-17)*0.34,0))),0)+IF(F366="PT",IF(L366=1,68,IF(L366=2,52.08,IF(L366=3,41.28,IF(L366=4,24,IF(L366=5,22,IF(L366=6,20,IF(L366=7,18,IF(L366=8,16,0))))))))+IF(L366&lt;=8,0,IF(L366&lt;=16,13,IF(L366&lt;=24,9,IF(L366&lt;=32,4,0))))-IF(L366&lt;=8,0,IF(L366&lt;=16,(L366-9)*0.34,IF(L366&lt;=24,(L366-17)*0.34,IF(L366&lt;=32,(L366-25)*0.34,0)))),0)+IF(F366="JOŽ",IF(L366=1,85,IF(L366=2,59.5,IF(L366=3,45,IF(L366=4,32.5,IF(L366=5,30,IF(L366=6,27.5,IF(L366=7,25,IF(L366=8,22.5,0))))))))+IF(L366&lt;=8,0,IF(L366&lt;=16,19,IF(L366&lt;=24,13,0)))-IF(L366&lt;=8,0,IF(L366&lt;=16,(L366-9)*0.425,IF(L366&lt;=24,(L366-17)*0.425,0))),0)+IF(F366="JPČ",IF(L366=1,68,IF(L366=2,47.6,IF(L366=3,36,IF(L366=4,26,IF(L366=5,24,IF(L366=6,22,IF(L366=7,20,IF(L366=8,18,0))))))))+IF(L366&lt;=8,0,IF(L366&lt;=16,13,IF(L366&lt;=24,9,0)))-IF(L366&lt;=8,0,IF(L366&lt;=16,(L366-9)*0.34,IF(L366&lt;=24,(L366-17)*0.34,0))),0)+IF(F366="JEČ",IF(L366=1,34,IF(L366=2,26.04,IF(L366=3,20.6,IF(L366=4,12,IF(L366=5,11,IF(L366=6,10,IF(L366=7,9,IF(L366=8,8,0))))))))+IF(L366&lt;=8,0,IF(L366&lt;=16,6,0))-IF(L366&lt;=8,0,IF(L366&lt;=16,(L366-9)*0.17,0)),0)+IF(F366="JEOF",IF(L366=1,34,IF(L366=2,26.04,IF(L366=3,20.6,IF(L366=4,12,IF(L366=5,11,IF(L366=6,10,IF(L366=7,9,IF(L366=8,8,0))))))))+IF(L366&lt;=8,0,IF(L366&lt;=16,6,0))-IF(L366&lt;=8,0,IF(L366&lt;=16,(L366-9)*0.17,0)),0)+IF(F366="JnPČ",IF(L366=1,51,IF(L366=2,35.7,IF(L366=3,27,IF(L366=4,19.5,IF(L366=5,18,IF(L366=6,16.5,IF(L366=7,15,IF(L366=8,13.5,0))))))))+IF(L366&lt;=8,0,IF(L366&lt;=16,10,0))-IF(L366&lt;=8,0,IF(L366&lt;=16,(L366-9)*0.255,0)),0)+IF(F366="JnEČ",IF(L366=1,25.5,IF(L366=2,19.53,IF(L366=3,15.48,IF(L366=4,9,IF(L366=5,8.25,IF(L366=6,7.5,IF(L366=7,6.75,IF(L366=8,6,0))))))))+IF(L366&lt;=8,0,IF(L366&lt;=16,5,0))-IF(L366&lt;=8,0,IF(L366&lt;=16,(L366-9)*0.1275,0)),0)+IF(F366="JčPČ",IF(L366=1,21.25,IF(L366=2,14.5,IF(L366=3,11.5,IF(L366=4,7,IF(L366=5,6.5,IF(L366=6,6,IF(L366=7,5.5,IF(L366=8,5,0))))))))+IF(L366&lt;=8,0,IF(L366&lt;=16,4,0))-IF(L366&lt;=8,0,IF(L366&lt;=16,(L366-9)*0.10625,0)),0)+IF(F366="JčEČ",IF(L366=1,17,IF(L366=2,13.02,IF(L366=3,10.32,IF(L366=4,6,IF(L366=5,5.5,IF(L366=6,5,IF(L366=7,4.5,IF(L366=8,4,0))))))))+IF(L366&lt;=8,0,IF(L366&lt;=16,3,0))-IF(L366&lt;=8,0,IF(L366&lt;=16,(L366-9)*0.085,0)),0)+IF(F366="NEAK",IF(L366=1,11.48,IF(L366=2,8.79,IF(L366=3,6.97,IF(L366=4,4.05,IF(L366=5,3.71,IF(L366=6,3.38,IF(L366=7,3.04,IF(L366=8,2.7,0))))))))+IF(L366&lt;=8,0,IF(L366&lt;=16,2,IF(L366&lt;=24,1.3,0)))-IF(L366&lt;=8,0,IF(L366&lt;=16,(L366-9)*0.0574,IF(L366&lt;=24,(L366-17)*0.0574,0))),0))*IF(L366&lt;0,1,IF(OR(F366="PČ",F366="PŽ",F366="PT"),IF(J366&lt;32,J366/32,1),1))* IF(L366&lt;0,1,IF(OR(F366="EČ",F366="EŽ",F366="JOŽ",F366="JPČ",F366="NEAK"),IF(J366&lt;24,J366/24,1),1))*IF(L366&lt;0,1,IF(OR(F366="PČneol",F366="JEČ",F366="JEOF",F366="JnPČ",F366="JnEČ",F366="JčPČ",F366="JčEČ"),IF(J366&lt;16,J366/16,1),1))*IF(L366&lt;0,1,IF(F366="EČneol",IF(J366&lt;8,J366/8,1),1))</f>
        <v>0</v>
      </c>
      <c r="O366" s="9">
        <f t="shared" ref="O366:O371" si="166">IF(F366="OŽ",N366,IF(H366="Ne",IF(J366*0.3&lt;J366-L366,N366,0),IF(J366*0.1&lt;J366-L366,N366,0)))</f>
        <v>0</v>
      </c>
      <c r="P366" s="4">
        <f t="shared" si="162"/>
        <v>0</v>
      </c>
      <c r="Q366" s="11">
        <f t="shared" si="163"/>
        <v>0</v>
      </c>
      <c r="R366" s="10">
        <f t="shared" ref="R366:R371" si="167">IF(Q366&lt;=30,O366+P366,O366+O366*0.3)*IF(G366=1,0.4,IF(G366=2,0.75,IF(G366="1 (kas 4 m. 1 k. nerengiamos)",0.52,1)))*IF(D366="olimpinė",1,IF(M366="Ne",0.5,1))*IF(OR(A$5="Lietuvos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federacija"),IF(OR(J366&lt;8,K366&lt;16),0,1),1)*E366*IF(I366&lt;=1,1,1/I366)*IF(OR(A$5="Lietuvos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7" spans="1:18" s="8" customFormat="1">
      <c r="A367" s="73">
        <v>6</v>
      </c>
      <c r="B367" s="73"/>
      <c r="C367" s="12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3">
        <f t="shared" si="165"/>
        <v>0</v>
      </c>
      <c r="O367" s="9">
        <f t="shared" si="166"/>
        <v>0</v>
      </c>
      <c r="P367" s="4">
        <f t="shared" si="162"/>
        <v>0</v>
      </c>
      <c r="Q367" s="11">
        <f t="shared" si="163"/>
        <v>0</v>
      </c>
      <c r="R367" s="10">
        <f t="shared" si="167"/>
        <v>0</v>
      </c>
    </row>
    <row r="368" spans="1:18" s="8" customFormat="1">
      <c r="A368" s="73">
        <v>7</v>
      </c>
      <c r="B368" s="73"/>
      <c r="C368" s="12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3">
        <f t="shared" si="165"/>
        <v>0</v>
      </c>
      <c r="O368" s="9">
        <f t="shared" si="166"/>
        <v>0</v>
      </c>
      <c r="P368" s="4">
        <f t="shared" si="162"/>
        <v>0</v>
      </c>
      <c r="Q368" s="11">
        <f t="shared" si="163"/>
        <v>0</v>
      </c>
      <c r="R368" s="10">
        <f t="shared" si="167"/>
        <v>0</v>
      </c>
    </row>
    <row r="369" spans="1:18" s="8" customFormat="1">
      <c r="A369" s="73">
        <v>8</v>
      </c>
      <c r="B369" s="73"/>
      <c r="C369" s="12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3">
        <f t="shared" si="165"/>
        <v>0</v>
      </c>
      <c r="O369" s="9">
        <f t="shared" si="166"/>
        <v>0</v>
      </c>
      <c r="P369" s="4">
        <f t="shared" si="162"/>
        <v>0</v>
      </c>
      <c r="Q369" s="11">
        <f t="shared" si="163"/>
        <v>0</v>
      </c>
      <c r="R369" s="10">
        <f t="shared" si="167"/>
        <v>0</v>
      </c>
    </row>
    <row r="370" spans="1:18" s="8" customFormat="1">
      <c r="A370" s="73">
        <v>9</v>
      </c>
      <c r="B370" s="73"/>
      <c r="C370" s="12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3">
        <f t="shared" si="165"/>
        <v>0</v>
      </c>
      <c r="O370" s="9">
        <f t="shared" si="166"/>
        <v>0</v>
      </c>
      <c r="P370" s="4">
        <f t="shared" si="162"/>
        <v>0</v>
      </c>
      <c r="Q370" s="11">
        <f t="shared" si="163"/>
        <v>0</v>
      </c>
      <c r="R370" s="10">
        <f t="shared" si="167"/>
        <v>0</v>
      </c>
    </row>
    <row r="371" spans="1:18" s="8" customFormat="1">
      <c r="A371" s="73">
        <v>10</v>
      </c>
      <c r="B371" s="73"/>
      <c r="C371" s="12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3">
        <f t="shared" si="165"/>
        <v>0</v>
      </c>
      <c r="O371" s="9">
        <f t="shared" si="166"/>
        <v>0</v>
      </c>
      <c r="P371" s="4">
        <f t="shared" si="162"/>
        <v>0</v>
      </c>
      <c r="Q371" s="11">
        <f t="shared" si="163"/>
        <v>0</v>
      </c>
      <c r="R371" s="10">
        <f t="shared" si="167"/>
        <v>0</v>
      </c>
    </row>
    <row r="372" spans="1:18" s="8" customFormat="1">
      <c r="A372" s="82" t="s">
        <v>36</v>
      </c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4"/>
      <c r="R372" s="10">
        <f>SUM(R362:R371)</f>
        <v>0</v>
      </c>
    </row>
    <row r="373" spans="1:18" s="8" customFormat="1" ht="15.75">
      <c r="A373" s="24" t="s">
        <v>37</v>
      </c>
      <c r="B373" s="24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7"/>
    </row>
    <row r="374" spans="1:18" s="8" customFormat="1">
      <c r="A374" s="49" t="s">
        <v>49</v>
      </c>
      <c r="B374" s="49"/>
      <c r="C374" s="49"/>
      <c r="D374" s="49"/>
      <c r="E374" s="49"/>
      <c r="F374" s="49"/>
      <c r="G374" s="49"/>
      <c r="H374" s="49"/>
      <c r="I374" s="49"/>
      <c r="J374" s="56"/>
      <c r="K374" s="56"/>
      <c r="L374" s="56"/>
      <c r="M374" s="56"/>
      <c r="N374" s="56"/>
      <c r="O374" s="56"/>
      <c r="P374" s="56"/>
      <c r="Q374" s="56"/>
      <c r="R374" s="57"/>
    </row>
    <row r="375" spans="1:18" s="8" customFormat="1">
      <c r="A375" s="49"/>
      <c r="B375" s="49"/>
      <c r="C375" s="49"/>
      <c r="D375" s="49"/>
      <c r="E375" s="49"/>
      <c r="F375" s="49"/>
      <c r="G375" s="49"/>
      <c r="H375" s="49"/>
      <c r="I375" s="49"/>
      <c r="J375" s="56"/>
      <c r="K375" s="56"/>
      <c r="L375" s="56"/>
      <c r="M375" s="56"/>
      <c r="N375" s="56"/>
      <c r="O375" s="56"/>
      <c r="P375" s="56"/>
      <c r="Q375" s="56"/>
      <c r="R375" s="57"/>
    </row>
    <row r="376" spans="1:18" s="8" customFormat="1">
      <c r="A376" s="76" t="s">
        <v>120</v>
      </c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68"/>
    </row>
    <row r="377" spans="1:18" s="8" customFormat="1" ht="18">
      <c r="A377" s="78" t="s">
        <v>27</v>
      </c>
      <c r="B377" s="79"/>
      <c r="C377" s="79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68"/>
    </row>
    <row r="378" spans="1:18" s="8" customFormat="1">
      <c r="A378" s="97" t="s">
        <v>121</v>
      </c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68"/>
    </row>
    <row r="379" spans="1:18" s="8" customFormat="1" ht="13.9" customHeight="1">
      <c r="A379" s="73">
        <v>1</v>
      </c>
      <c r="B379" s="73" t="s">
        <v>42</v>
      </c>
      <c r="C379" s="12" t="s">
        <v>30</v>
      </c>
      <c r="D379" s="73" t="s">
        <v>31</v>
      </c>
      <c r="E379" s="73">
        <v>1</v>
      </c>
      <c r="F379" s="73" t="s">
        <v>54</v>
      </c>
      <c r="G379" s="73">
        <v>1</v>
      </c>
      <c r="H379" s="73" t="s">
        <v>33</v>
      </c>
      <c r="I379" s="73"/>
      <c r="J379" s="73">
        <v>107</v>
      </c>
      <c r="K379" s="73">
        <v>40</v>
      </c>
      <c r="L379" s="73">
        <v>21</v>
      </c>
      <c r="M379" s="73" t="s">
        <v>59</v>
      </c>
      <c r="N379" s="3">
        <f t="shared" ref="N379:N388" si="168">(IF(F379="OŽ",IF(L379=1,550.8,IF(L379=2,426.38,IF(L379=3,342.14,IF(L379=4,181.44,IF(L379=5,168.48,IF(L379=6,155.52,IF(L379=7,148.5,IF(L379=8,144,0))))))))+IF(L379&lt;=8,0,IF(L379&lt;=16,137.7,IF(L379&lt;=24,108,IF(L379&lt;=32,80.1,IF(L379&lt;=36,52.2,0)))))-IF(L379&lt;=8,0,IF(L379&lt;=16,(L379-9)*2.754,IF(L379&lt;=24,(L379-17)* 2.754,IF(L379&lt;=32,(L379-25)* 2.754,IF(L379&lt;=36,(L379-33)*2.754,0))))),0)+IF(F379="PČ",IF(L379=1,449,IF(L379=2,314.6,IF(L379=3,238,IF(L379=4,172,IF(L379=5,159,IF(L379=6,145,IF(L379=7,132,IF(L379=8,119,0))))))))+IF(L379&lt;=8,0,IF(L379&lt;=16,88,IF(L379&lt;=24,55,IF(L379&lt;=32,22,0))))-IF(L379&lt;=8,0,IF(L379&lt;=16,(L379-9)*2.245,IF(L379&lt;=24,(L379-17)*2.245,IF(L379&lt;=32,(L379-25)*2.245,0)))),0)+IF(F379="PČneol",IF(L379=1,85,IF(L379=2,64.61,IF(L379=3,50.76,IF(L379=4,16.25,IF(L379=5,15,IF(L379=6,13.75,IF(L379=7,12.5,IF(L379=8,11.25,0))))))))+IF(L379&lt;=8,0,IF(L379&lt;=16,9,0))-IF(L379&lt;=8,0,IF(L379&lt;=16,(L379-9)*0.425,0)),0)+IF(F379="PŽ",IF(L379=1,85,IF(L379=2,59.5,IF(L379=3,45,IF(L379=4,32.5,IF(L379=5,30,IF(L379=6,27.5,IF(L379=7,25,IF(L379=8,22.5,0))))))))+IF(L379&lt;=8,0,IF(L379&lt;=16,19,IF(L379&lt;=24,13,IF(L379&lt;=32,8,0))))-IF(L379&lt;=8,0,IF(L379&lt;=16,(L379-9)*0.425,IF(L379&lt;=24,(L379-17)*0.425,IF(L379&lt;=32,(L379-25)*0.425,0)))),0)+IF(F379="EČ",IF(L379=1,204,IF(L379=2,156.24,IF(L379=3,123.84,IF(L379=4,72,IF(L379=5,66,IF(L379=6,60,IF(L379=7,54,IF(L379=8,48,0))))))))+IF(L379&lt;=8,0,IF(L379&lt;=16,40,IF(L379&lt;=24,25,0)))-IF(L379&lt;=8,0,IF(L379&lt;=16,(L379-9)*1.02,IF(L379&lt;=24,(L379-17)*1.02,0))),0)+IF(F379="EČneol",IF(L379=1,68,IF(L379=2,51.69,IF(L379=3,40.61,IF(L379=4,13,IF(L379=5,12,IF(L379=6,11,IF(L379=7,10,IF(L379=8,9,0)))))))))+IF(F379="EŽ",IF(L379=1,68,IF(L379=2,47.6,IF(L379=3,36,IF(L379=4,18,IF(L379=5,16.5,IF(L379=6,15,IF(L379=7,13.5,IF(L379=8,12,0))))))))+IF(L379&lt;=8,0,IF(L379&lt;=16,10,IF(L379&lt;=24,6,0)))-IF(L379&lt;=8,0,IF(L379&lt;=16,(L379-9)*0.34,IF(L379&lt;=24,(L379-17)*0.34,0))),0)+IF(F379="PT",IF(L379=1,68,IF(L379=2,52.08,IF(L379=3,41.28,IF(L379=4,24,IF(L379=5,22,IF(L379=6,20,IF(L379=7,18,IF(L379=8,16,0))))))))+IF(L379&lt;=8,0,IF(L379&lt;=16,13,IF(L379&lt;=24,9,IF(L379&lt;=32,4,0))))-IF(L379&lt;=8,0,IF(L379&lt;=16,(L379-9)*0.34,IF(L379&lt;=24,(L379-17)*0.34,IF(L379&lt;=32,(L379-25)*0.34,0)))),0)+IF(F379="JOŽ",IF(L379=1,85,IF(L379=2,59.5,IF(L379=3,45,IF(L379=4,32.5,IF(L379=5,30,IF(L379=6,27.5,IF(L379=7,25,IF(L379=8,22.5,0))))))))+IF(L379&lt;=8,0,IF(L379&lt;=16,19,IF(L379&lt;=24,13,0)))-IF(L379&lt;=8,0,IF(L379&lt;=16,(L379-9)*0.425,IF(L379&lt;=24,(L379-17)*0.425,0))),0)+IF(F379="JPČ",IF(L379=1,68,IF(L379=2,47.6,IF(L379=3,36,IF(L379=4,26,IF(L379=5,24,IF(L379=6,22,IF(L379=7,20,IF(L379=8,18,0))))))))+IF(L379&lt;=8,0,IF(L379&lt;=16,13,IF(L379&lt;=24,9,0)))-IF(L379&lt;=8,0,IF(L379&lt;=16,(L379-9)*0.34,IF(L379&lt;=24,(L379-17)*0.34,0))),0)+IF(F379="JEČ",IF(L379=1,34,IF(L379=2,26.04,IF(L379=3,20.6,IF(L379=4,12,IF(L379=5,11,IF(L379=6,10,IF(L379=7,9,IF(L379=8,8,0))))))))+IF(L379&lt;=8,0,IF(L379&lt;=16,6,0))-IF(L379&lt;=8,0,IF(L379&lt;=16,(L379-9)*0.17,0)),0)+IF(F379="JEOF",IF(L379=1,34,IF(L379=2,26.04,IF(L379=3,20.6,IF(L379=4,12,IF(L379=5,11,IF(L379=6,10,IF(L379=7,9,IF(L379=8,8,0))))))))+IF(L379&lt;=8,0,IF(L379&lt;=16,6,0))-IF(L379&lt;=8,0,IF(L379&lt;=16,(L379-9)*0.17,0)),0)+IF(F379="JnPČ",IF(L379=1,51,IF(L379=2,35.7,IF(L379=3,27,IF(L379=4,19.5,IF(L379=5,18,IF(L379=6,16.5,IF(L379=7,15,IF(L379=8,13.5,0))))))))+IF(L379&lt;=8,0,IF(L379&lt;=16,10,0))-IF(L379&lt;=8,0,IF(L379&lt;=16,(L379-9)*0.255,0)),0)+IF(F379="JnEČ",IF(L379=1,25.5,IF(L379=2,19.53,IF(L379=3,15.48,IF(L379=4,9,IF(L379=5,8.25,IF(L379=6,7.5,IF(L379=7,6.75,IF(L379=8,6,0))))))))+IF(L379&lt;=8,0,IF(L379&lt;=16,5,0))-IF(L379&lt;=8,0,IF(L379&lt;=16,(L379-9)*0.1275,0)),0)+IF(F379="JčPČ",IF(L379=1,21.25,IF(L379=2,14.5,IF(L379=3,11.5,IF(L379=4,7,IF(L379=5,6.5,IF(L379=6,6,IF(L379=7,5.5,IF(L379=8,5,0))))))))+IF(L379&lt;=8,0,IF(L379&lt;=16,4,0))-IF(L379&lt;=8,0,IF(L379&lt;=16,(L379-9)*0.10625,0)),0)+IF(F379="JčEČ",IF(L379=1,17,IF(L379=2,13.02,IF(L379=3,10.32,IF(L379=4,6,IF(L379=5,5.5,IF(L379=6,5,IF(L379=7,4.5,IF(L379=8,4,0))))))))+IF(L379&lt;=8,0,IF(L379&lt;=16,3,0))-IF(L379&lt;=8,0,IF(L379&lt;=16,(L379-9)*0.085,0)),0)+IF(F379="NEAK",IF(L379=1,11.48,IF(L379=2,8.79,IF(L379=3,6.97,IF(L379=4,4.05,IF(L379=5,3.71,IF(L379=6,3.38,IF(L379=7,3.04,IF(L379=8,2.7,0))))))))+IF(L379&lt;=8,0,IF(L379&lt;=16,2,IF(L379&lt;=24,1.3,0)))-IF(L379&lt;=8,0,IF(L379&lt;=16,(L379-9)*0.0574,IF(L379&lt;=24,(L379-17)*0.0574,0))),0))*IF(L379&lt;0,1,IF(OR(F379="PČ",F379="PŽ",F379="PT"),IF(J379&lt;32,J379/32,1),1))* IF(L379&lt;0,1,IF(OR(F379="EČ",F379="EŽ",F379="JOŽ",F379="JPČ",F379="NEAK"),IF(J379&lt;24,J379/24,1),1))*IF(L379&lt;0,1,IF(OR(F379="PČneol",F379="JEČ",F379="JEOF",F379="JnPČ",F379="JnEČ",F379="JčPČ",F379="JčEČ"),IF(J379&lt;16,J379/16,1),1))*IF(L379&lt;0,1,IF(F379="EČneol",IF(J379&lt;8,J379/8,1),1))</f>
        <v>20.92</v>
      </c>
      <c r="O379" s="9">
        <f t="shared" ref="O379:O388" si="169">IF(F379="OŽ",N379,IF(H379="Ne",IF(J379*0.3&lt;J379-L379,N379,0),IF(J379*0.1&lt;J379-L379,N379,0)))</f>
        <v>20.92</v>
      </c>
      <c r="P379" s="4">
        <f t="shared" ref="P379:P388" si="170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1.8359999999999999</v>
      </c>
      <c r="Q379" s="11">
        <f t="shared" ref="Q379:Q388" si="171">IF(ISERROR(P379*100/N379),0,(P379*100/N379))</f>
        <v>8.7762906309751418</v>
      </c>
      <c r="R379" s="10">
        <f t="shared" ref="R379:R388" si="172">IF(Q379&lt;=30,O379+P379,O379+O379*0.3)*IF(G379=1,0.4,IF(G379=2,0.75,IF(G379="1 (kas 4 m. 1 k. nerengiamos)",0.52,1)))*IF(D379="olimpinė",1,IF(M379="Ne",0.5,1))*IF(OR(A$5="Lietuvos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federacija"),IF(OR(J379&lt;8,K379&lt;16),0,1),1)*E379*IF(I379&lt;=1,1,1/I379)*IF(OR(A$5="Lietuvos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9.557520000000002</v>
      </c>
    </row>
    <row r="380" spans="1:18" s="8" customFormat="1">
      <c r="A380" s="73">
        <v>2</v>
      </c>
      <c r="B380" s="73"/>
      <c r="C380" s="12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3">
        <f t="shared" si="168"/>
        <v>0</v>
      </c>
      <c r="O380" s="9">
        <f t="shared" si="169"/>
        <v>0</v>
      </c>
      <c r="P380" s="4">
        <f t="shared" si="170"/>
        <v>0</v>
      </c>
      <c r="Q380" s="11">
        <f t="shared" si="171"/>
        <v>0</v>
      </c>
      <c r="R380" s="10">
        <f t="shared" si="172"/>
        <v>0</v>
      </c>
    </row>
    <row r="381" spans="1:18" s="8" customFormat="1">
      <c r="A381" s="73">
        <v>3</v>
      </c>
      <c r="B381" s="73"/>
      <c r="C381" s="12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3">
        <f t="shared" si="168"/>
        <v>0</v>
      </c>
      <c r="O381" s="9">
        <f t="shared" si="169"/>
        <v>0</v>
      </c>
      <c r="P381" s="4">
        <f t="shared" si="170"/>
        <v>0</v>
      </c>
      <c r="Q381" s="11">
        <f t="shared" si="171"/>
        <v>0</v>
      </c>
      <c r="R381" s="10">
        <f t="shared" si="172"/>
        <v>0</v>
      </c>
    </row>
    <row r="382" spans="1:18" s="8" customFormat="1">
      <c r="A382" s="73">
        <v>4</v>
      </c>
      <c r="B382" s="73"/>
      <c r="C382" s="12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3">
        <f t="shared" si="168"/>
        <v>0</v>
      </c>
      <c r="O382" s="9">
        <f t="shared" si="169"/>
        <v>0</v>
      </c>
      <c r="P382" s="4">
        <f t="shared" si="170"/>
        <v>0</v>
      </c>
      <c r="Q382" s="11">
        <f t="shared" si="171"/>
        <v>0</v>
      </c>
      <c r="R382" s="10">
        <f t="shared" si="172"/>
        <v>0</v>
      </c>
    </row>
    <row r="383" spans="1:18" s="8" customFormat="1">
      <c r="A383" s="73">
        <v>5</v>
      </c>
      <c r="B383" s="73"/>
      <c r="C383" s="12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3">
        <f t="shared" si="168"/>
        <v>0</v>
      </c>
      <c r="O383" s="9">
        <f t="shared" si="169"/>
        <v>0</v>
      </c>
      <c r="P383" s="4">
        <f t="shared" si="170"/>
        <v>0</v>
      </c>
      <c r="Q383" s="11">
        <f t="shared" si="171"/>
        <v>0</v>
      </c>
      <c r="R383" s="10">
        <f t="shared" si="172"/>
        <v>0</v>
      </c>
    </row>
    <row r="384" spans="1:18" s="8" customFormat="1">
      <c r="A384" s="73">
        <v>6</v>
      </c>
      <c r="B384" s="73"/>
      <c r="C384" s="1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3">
        <f t="shared" si="168"/>
        <v>0</v>
      </c>
      <c r="O384" s="9">
        <f t="shared" si="169"/>
        <v>0</v>
      </c>
      <c r="P384" s="4">
        <f t="shared" si="170"/>
        <v>0</v>
      </c>
      <c r="Q384" s="11">
        <f t="shared" si="171"/>
        <v>0</v>
      </c>
      <c r="R384" s="10">
        <f t="shared" si="172"/>
        <v>0</v>
      </c>
    </row>
    <row r="385" spans="1:18" s="8" customFormat="1">
      <c r="A385" s="73">
        <v>7</v>
      </c>
      <c r="B385" s="73"/>
      <c r="C385" s="12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3">
        <f t="shared" si="168"/>
        <v>0</v>
      </c>
      <c r="O385" s="9">
        <f t="shared" si="169"/>
        <v>0</v>
      </c>
      <c r="P385" s="4">
        <f t="shared" si="170"/>
        <v>0</v>
      </c>
      <c r="Q385" s="11">
        <f t="shared" si="171"/>
        <v>0</v>
      </c>
      <c r="R385" s="10">
        <f t="shared" si="172"/>
        <v>0</v>
      </c>
    </row>
    <row r="386" spans="1:18" s="8" customFormat="1">
      <c r="A386" s="73">
        <v>8</v>
      </c>
      <c r="B386" s="73"/>
      <c r="C386" s="12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3">
        <f t="shared" si="168"/>
        <v>0</v>
      </c>
      <c r="O386" s="9">
        <f t="shared" si="169"/>
        <v>0</v>
      </c>
      <c r="P386" s="4">
        <f t="shared" si="170"/>
        <v>0</v>
      </c>
      <c r="Q386" s="11">
        <f t="shared" si="171"/>
        <v>0</v>
      </c>
      <c r="R386" s="10">
        <f t="shared" si="172"/>
        <v>0</v>
      </c>
    </row>
    <row r="387" spans="1:18" s="8" customFormat="1">
      <c r="A387" s="73">
        <v>9</v>
      </c>
      <c r="B387" s="73"/>
      <c r="C387" s="12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3">
        <f t="shared" si="168"/>
        <v>0</v>
      </c>
      <c r="O387" s="9">
        <f t="shared" si="169"/>
        <v>0</v>
      </c>
      <c r="P387" s="4">
        <f t="shared" si="170"/>
        <v>0</v>
      </c>
      <c r="Q387" s="11">
        <f t="shared" si="171"/>
        <v>0</v>
      </c>
      <c r="R387" s="10">
        <f t="shared" si="172"/>
        <v>0</v>
      </c>
    </row>
    <row r="388" spans="1:18" s="8" customFormat="1">
      <c r="A388" s="73">
        <v>10</v>
      </c>
      <c r="B388" s="73"/>
      <c r="C388" s="12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3">
        <f t="shared" si="168"/>
        <v>0</v>
      </c>
      <c r="O388" s="9">
        <f t="shared" si="169"/>
        <v>0</v>
      </c>
      <c r="P388" s="4">
        <f t="shared" si="170"/>
        <v>0</v>
      </c>
      <c r="Q388" s="11">
        <f t="shared" si="171"/>
        <v>0</v>
      </c>
      <c r="R388" s="10">
        <f t="shared" si="172"/>
        <v>0</v>
      </c>
    </row>
    <row r="389" spans="1:18" s="8" customFormat="1" ht="13.9" customHeight="1">
      <c r="A389" s="82" t="s">
        <v>36</v>
      </c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4"/>
      <c r="R389" s="10">
        <f>SUM(R379:R388)</f>
        <v>9.557520000000002</v>
      </c>
    </row>
    <row r="390" spans="1:18" s="8" customFormat="1" ht="15.75">
      <c r="A390" s="24" t="s">
        <v>37</v>
      </c>
      <c r="B390" s="24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7"/>
    </row>
    <row r="391" spans="1:18" s="8" customFormat="1">
      <c r="A391" s="49" t="s">
        <v>49</v>
      </c>
      <c r="B391" s="49"/>
      <c r="C391" s="49"/>
      <c r="D391" s="49"/>
      <c r="E391" s="49"/>
      <c r="F391" s="49"/>
      <c r="G391" s="49"/>
      <c r="H391" s="49"/>
      <c r="I391" s="49"/>
      <c r="J391" s="56"/>
      <c r="K391" s="56"/>
      <c r="L391" s="56"/>
      <c r="M391" s="56"/>
      <c r="N391" s="56"/>
      <c r="O391" s="56"/>
      <c r="P391" s="56"/>
      <c r="Q391" s="56"/>
      <c r="R391" s="57"/>
    </row>
    <row r="392" spans="1:18" s="8" customFormat="1">
      <c r="A392" s="49"/>
      <c r="B392" s="49"/>
      <c r="C392" s="49"/>
      <c r="D392" s="49"/>
      <c r="E392" s="49"/>
      <c r="F392" s="49"/>
      <c r="G392" s="49"/>
      <c r="H392" s="49"/>
      <c r="I392" s="49"/>
      <c r="J392" s="56"/>
      <c r="K392" s="56"/>
      <c r="L392" s="56"/>
      <c r="M392" s="56"/>
      <c r="N392" s="56"/>
      <c r="O392" s="56"/>
      <c r="P392" s="56"/>
      <c r="Q392" s="56"/>
      <c r="R392" s="57"/>
    </row>
    <row r="393" spans="1:18" s="8" customFormat="1">
      <c r="A393" s="76" t="s">
        <v>120</v>
      </c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68"/>
    </row>
    <row r="394" spans="1:18" s="8" customFormat="1" ht="18">
      <c r="A394" s="78" t="s">
        <v>27</v>
      </c>
      <c r="B394" s="79"/>
      <c r="C394" s="79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68"/>
    </row>
    <row r="395" spans="1:18" s="8" customFormat="1">
      <c r="A395" s="80" t="s">
        <v>121</v>
      </c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68"/>
    </row>
    <row r="396" spans="1:18" s="8" customFormat="1">
      <c r="A396" s="73">
        <v>1</v>
      </c>
      <c r="B396" s="73" t="s">
        <v>84</v>
      </c>
      <c r="C396" s="12" t="s">
        <v>122</v>
      </c>
      <c r="D396" s="73" t="s">
        <v>31</v>
      </c>
      <c r="E396" s="73">
        <v>1</v>
      </c>
      <c r="F396" s="73" t="s">
        <v>54</v>
      </c>
      <c r="G396" s="73">
        <v>1</v>
      </c>
      <c r="H396" s="73" t="s">
        <v>33</v>
      </c>
      <c r="I396" s="73"/>
      <c r="J396" s="73">
        <v>126</v>
      </c>
      <c r="K396" s="73">
        <v>40</v>
      </c>
      <c r="L396" s="73">
        <v>72</v>
      </c>
      <c r="M396" s="73"/>
      <c r="N396" s="3">
        <f t="shared" ref="N396:N405" si="173">(IF(F396="OŽ",IF(L396=1,550.8,IF(L396=2,426.38,IF(L396=3,342.14,IF(L396=4,181.44,IF(L396=5,168.48,IF(L396=6,155.52,IF(L396=7,148.5,IF(L396=8,144,0))))))))+IF(L396&lt;=8,0,IF(L396&lt;=16,137.7,IF(L396&lt;=24,108,IF(L396&lt;=32,80.1,IF(L396&lt;=36,52.2,0)))))-IF(L396&lt;=8,0,IF(L396&lt;=16,(L396-9)*2.754,IF(L396&lt;=24,(L396-17)* 2.754,IF(L396&lt;=32,(L396-25)* 2.754,IF(L396&lt;=36,(L396-33)*2.754,0))))),0)+IF(F396="PČ",IF(L396=1,449,IF(L396=2,314.6,IF(L396=3,238,IF(L396=4,172,IF(L396=5,159,IF(L396=6,145,IF(L396=7,132,IF(L396=8,119,0))))))))+IF(L396&lt;=8,0,IF(L396&lt;=16,88,IF(L396&lt;=24,55,IF(L396&lt;=32,22,0))))-IF(L396&lt;=8,0,IF(L396&lt;=16,(L396-9)*2.245,IF(L396&lt;=24,(L396-17)*2.245,IF(L396&lt;=32,(L396-25)*2.245,0)))),0)+IF(F396="PČneol",IF(L396=1,85,IF(L396=2,64.61,IF(L396=3,50.76,IF(L396=4,16.25,IF(L396=5,15,IF(L396=6,13.75,IF(L396=7,12.5,IF(L396=8,11.25,0))))))))+IF(L396&lt;=8,0,IF(L396&lt;=16,9,0))-IF(L396&lt;=8,0,IF(L396&lt;=16,(L396-9)*0.425,0)),0)+IF(F396="PŽ",IF(L396=1,85,IF(L396=2,59.5,IF(L396=3,45,IF(L396=4,32.5,IF(L396=5,30,IF(L396=6,27.5,IF(L396=7,25,IF(L396=8,22.5,0))))))))+IF(L396&lt;=8,0,IF(L396&lt;=16,19,IF(L396&lt;=24,13,IF(L396&lt;=32,8,0))))-IF(L396&lt;=8,0,IF(L396&lt;=16,(L396-9)*0.425,IF(L396&lt;=24,(L396-17)*0.425,IF(L396&lt;=32,(L396-25)*0.425,0)))),0)+IF(F396="EČ",IF(L396=1,204,IF(L396=2,156.24,IF(L396=3,123.84,IF(L396=4,72,IF(L396=5,66,IF(L396=6,60,IF(L396=7,54,IF(L396=8,48,0))))))))+IF(L396&lt;=8,0,IF(L396&lt;=16,40,IF(L396&lt;=24,25,0)))-IF(L396&lt;=8,0,IF(L396&lt;=16,(L396-9)*1.02,IF(L396&lt;=24,(L396-17)*1.02,0))),0)+IF(F396="EČneol",IF(L396=1,68,IF(L396=2,51.69,IF(L396=3,40.61,IF(L396=4,13,IF(L396=5,12,IF(L396=6,11,IF(L396=7,10,IF(L396=8,9,0)))))))))+IF(F396="EŽ",IF(L396=1,68,IF(L396=2,47.6,IF(L396=3,36,IF(L396=4,18,IF(L396=5,16.5,IF(L396=6,15,IF(L396=7,13.5,IF(L396=8,12,0))))))))+IF(L396&lt;=8,0,IF(L396&lt;=16,10,IF(L396&lt;=24,6,0)))-IF(L396&lt;=8,0,IF(L396&lt;=16,(L396-9)*0.34,IF(L396&lt;=24,(L396-17)*0.34,0))),0)+IF(F396="PT",IF(L396=1,68,IF(L396=2,52.08,IF(L396=3,41.28,IF(L396=4,24,IF(L396=5,22,IF(L396=6,20,IF(L396=7,18,IF(L396=8,16,0))))))))+IF(L396&lt;=8,0,IF(L396&lt;=16,13,IF(L396&lt;=24,9,IF(L396&lt;=32,4,0))))-IF(L396&lt;=8,0,IF(L396&lt;=16,(L396-9)*0.34,IF(L396&lt;=24,(L396-17)*0.34,IF(L396&lt;=32,(L396-25)*0.34,0)))),0)+IF(F396="JOŽ",IF(L396=1,85,IF(L396=2,59.5,IF(L396=3,45,IF(L396=4,32.5,IF(L396=5,30,IF(L396=6,27.5,IF(L396=7,25,IF(L396=8,22.5,0))))))))+IF(L396&lt;=8,0,IF(L396&lt;=16,19,IF(L396&lt;=24,13,0)))-IF(L396&lt;=8,0,IF(L396&lt;=16,(L396-9)*0.425,IF(L396&lt;=24,(L396-17)*0.425,0))),0)+IF(F396="JPČ",IF(L396=1,68,IF(L396=2,47.6,IF(L396=3,36,IF(L396=4,26,IF(L396=5,24,IF(L396=6,22,IF(L396=7,20,IF(L396=8,18,0))))))))+IF(L396&lt;=8,0,IF(L396&lt;=16,13,IF(L396&lt;=24,9,0)))-IF(L396&lt;=8,0,IF(L396&lt;=16,(L396-9)*0.34,IF(L396&lt;=24,(L396-17)*0.34,0))),0)+IF(F396="JEČ",IF(L396=1,34,IF(L396=2,26.04,IF(L396=3,20.6,IF(L396=4,12,IF(L396=5,11,IF(L396=6,10,IF(L396=7,9,IF(L396=8,8,0))))))))+IF(L396&lt;=8,0,IF(L396&lt;=16,6,0))-IF(L396&lt;=8,0,IF(L396&lt;=16,(L396-9)*0.17,0)),0)+IF(F396="JEOF",IF(L396=1,34,IF(L396=2,26.04,IF(L396=3,20.6,IF(L396=4,12,IF(L396=5,11,IF(L396=6,10,IF(L396=7,9,IF(L396=8,8,0))))))))+IF(L396&lt;=8,0,IF(L396&lt;=16,6,0))-IF(L396&lt;=8,0,IF(L396&lt;=16,(L396-9)*0.17,0)),0)+IF(F396="JnPČ",IF(L396=1,51,IF(L396=2,35.7,IF(L396=3,27,IF(L396=4,19.5,IF(L396=5,18,IF(L396=6,16.5,IF(L396=7,15,IF(L396=8,13.5,0))))))))+IF(L396&lt;=8,0,IF(L396&lt;=16,10,0))-IF(L396&lt;=8,0,IF(L396&lt;=16,(L396-9)*0.255,0)),0)+IF(F396="JnEČ",IF(L396=1,25.5,IF(L396=2,19.53,IF(L396=3,15.48,IF(L396=4,9,IF(L396=5,8.25,IF(L396=6,7.5,IF(L396=7,6.75,IF(L396=8,6,0))))))))+IF(L396&lt;=8,0,IF(L396&lt;=16,5,0))-IF(L396&lt;=8,0,IF(L396&lt;=16,(L396-9)*0.1275,0)),0)+IF(F396="JčPČ",IF(L396=1,21.25,IF(L396=2,14.5,IF(L396=3,11.5,IF(L396=4,7,IF(L396=5,6.5,IF(L396=6,6,IF(L396=7,5.5,IF(L396=8,5,0))))))))+IF(L396&lt;=8,0,IF(L396&lt;=16,4,0))-IF(L396&lt;=8,0,IF(L396&lt;=16,(L396-9)*0.10625,0)),0)+IF(F396="JčEČ",IF(L396=1,17,IF(L396=2,13.02,IF(L396=3,10.32,IF(L396=4,6,IF(L396=5,5.5,IF(L396=6,5,IF(L396=7,4.5,IF(L396=8,4,0))))))))+IF(L396&lt;=8,0,IF(L396&lt;=16,3,0))-IF(L396&lt;=8,0,IF(L396&lt;=16,(L396-9)*0.085,0)),0)+IF(F396="NEAK",IF(L396=1,11.48,IF(L396=2,8.79,IF(L396=3,6.97,IF(L396=4,4.05,IF(L396=5,3.71,IF(L396=6,3.38,IF(L396=7,3.04,IF(L396=8,2.7,0))))))))+IF(L396&lt;=8,0,IF(L396&lt;=16,2,IF(L396&lt;=24,1.3,0)))-IF(L396&lt;=8,0,IF(L396&lt;=16,(L396-9)*0.0574,IF(L396&lt;=24,(L396-17)*0.0574,0))),0))*IF(L396&lt;0,1,IF(OR(F396="PČ",F396="PŽ",F396="PT"),IF(J396&lt;32,J396/32,1),1))* IF(L396&lt;0,1,IF(OR(F396="EČ",F396="EŽ",F396="JOŽ",F396="JPČ",F396="NEAK"),IF(J396&lt;24,J396/24,1),1))*IF(L396&lt;0,1,IF(OR(F396="PČneol",F396="JEČ",F396="JEOF",F396="JnPČ",F396="JnEČ",F396="JčPČ",F396="JčEČ"),IF(J396&lt;16,J396/16,1),1))*IF(L396&lt;0,1,IF(F396="EČneol",IF(J396&lt;8,J396/8,1),1))</f>
        <v>0</v>
      </c>
      <c r="O396" s="9">
        <f t="shared" ref="O396:O405" si="174">IF(F396="OŽ",N396,IF(H396="Ne",IF(J396*0.3&lt;J396-L396,N396,0),IF(J396*0.1&lt;J396-L396,N396,0)))</f>
        <v>0</v>
      </c>
      <c r="P396" s="4">
        <f t="shared" ref="P396:P405" si="17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5" si="176">IF(ISERROR(P396*100/N396),0,(P396*100/N396))</f>
        <v>0</v>
      </c>
      <c r="R396" s="10">
        <f t="shared" ref="R396:R405" si="177">IF(Q396&lt;=30,O396+P396,O396+O396*0.3)*IF(G396=1,0.4,IF(G396=2,0.75,IF(G396="1 (kas 4 m. 1 k. nerengiamos)",0.52,1)))*IF(D396="olimpinė",1,IF(M396="Ne",0.5,1))*IF(OR(A$5="Lietuvos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federacija"),IF(OR(J396&lt;8,K396&lt;16),0,1),1)*E396*IF(I396&lt;=1,1,1/I396)*IF(OR(A$5="Lietuvos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7" spans="1:18" s="8" customFormat="1">
      <c r="A397" s="73">
        <v>2</v>
      </c>
      <c r="B397" s="73" t="s">
        <v>86</v>
      </c>
      <c r="C397" s="63" t="s">
        <v>122</v>
      </c>
      <c r="D397" s="73" t="s">
        <v>31</v>
      </c>
      <c r="E397" s="61">
        <v>1</v>
      </c>
      <c r="F397" s="73" t="s">
        <v>54</v>
      </c>
      <c r="G397" s="73">
        <v>1</v>
      </c>
      <c r="H397" s="73" t="s">
        <v>33</v>
      </c>
      <c r="I397" s="73"/>
      <c r="J397" s="73">
        <v>126</v>
      </c>
      <c r="K397" s="73">
        <v>40</v>
      </c>
      <c r="L397" s="73">
        <v>59</v>
      </c>
      <c r="M397" s="73"/>
      <c r="N397" s="3">
        <f t="shared" si="173"/>
        <v>0</v>
      </c>
      <c r="O397" s="9">
        <f t="shared" si="174"/>
        <v>0</v>
      </c>
      <c r="P397" s="4">
        <f t="shared" si="175"/>
        <v>0</v>
      </c>
      <c r="Q397" s="11">
        <f t="shared" si="176"/>
        <v>0</v>
      </c>
      <c r="R397" s="10">
        <f t="shared" si="177"/>
        <v>0</v>
      </c>
    </row>
    <row r="398" spans="1:18" s="8" customFormat="1">
      <c r="A398" s="73">
        <v>3</v>
      </c>
      <c r="B398" s="64" t="s">
        <v>91</v>
      </c>
      <c r="C398" s="63" t="s">
        <v>122</v>
      </c>
      <c r="D398" s="73" t="s">
        <v>31</v>
      </c>
      <c r="E398" s="73">
        <v>1</v>
      </c>
      <c r="F398" s="73" t="s">
        <v>54</v>
      </c>
      <c r="G398" s="73">
        <v>1</v>
      </c>
      <c r="H398" s="73" t="s">
        <v>33</v>
      </c>
      <c r="I398" s="73"/>
      <c r="J398" s="73">
        <v>126</v>
      </c>
      <c r="K398" s="73">
        <v>40</v>
      </c>
      <c r="L398" s="73">
        <v>87</v>
      </c>
      <c r="M398" s="73"/>
      <c r="N398" s="3">
        <f t="shared" si="173"/>
        <v>0</v>
      </c>
      <c r="O398" s="9">
        <f t="shared" si="174"/>
        <v>0</v>
      </c>
      <c r="P398" s="4">
        <f t="shared" si="175"/>
        <v>0</v>
      </c>
      <c r="Q398" s="11">
        <f t="shared" si="176"/>
        <v>0</v>
      </c>
      <c r="R398" s="10">
        <f t="shared" si="177"/>
        <v>0</v>
      </c>
    </row>
    <row r="399" spans="1:18" s="8" customFormat="1">
      <c r="A399" s="73">
        <v>4</v>
      </c>
      <c r="B399" s="64" t="s">
        <v>69</v>
      </c>
      <c r="C399" s="12" t="s">
        <v>30</v>
      </c>
      <c r="D399" s="73" t="s">
        <v>45</v>
      </c>
      <c r="E399" s="73">
        <v>1</v>
      </c>
      <c r="F399" s="73" t="s">
        <v>54</v>
      </c>
      <c r="G399" s="73">
        <v>1</v>
      </c>
      <c r="H399" s="73" t="s">
        <v>59</v>
      </c>
      <c r="I399" s="73"/>
      <c r="J399" s="73">
        <v>30</v>
      </c>
      <c r="K399" s="73">
        <v>40</v>
      </c>
      <c r="L399" s="73">
        <v>16</v>
      </c>
      <c r="M399" s="73"/>
      <c r="N399" s="3">
        <f t="shared" si="173"/>
        <v>32.86</v>
      </c>
      <c r="O399" s="9">
        <f t="shared" si="174"/>
        <v>32.86</v>
      </c>
      <c r="P399" s="4">
        <f t="shared" si="175"/>
        <v>4.8959999999999999</v>
      </c>
      <c r="Q399" s="11">
        <f t="shared" si="176"/>
        <v>14.899573950091296</v>
      </c>
      <c r="R399" s="10">
        <f t="shared" si="177"/>
        <v>15.857520000000003</v>
      </c>
    </row>
    <row r="400" spans="1:18" s="8" customFormat="1">
      <c r="A400" s="73">
        <v>5</v>
      </c>
      <c r="B400" s="73"/>
      <c r="C400" s="12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3">
        <f t="shared" si="173"/>
        <v>0</v>
      </c>
      <c r="O400" s="9">
        <f t="shared" si="174"/>
        <v>0</v>
      </c>
      <c r="P400" s="4">
        <f t="shared" si="175"/>
        <v>0</v>
      </c>
      <c r="Q400" s="11">
        <f t="shared" si="176"/>
        <v>0</v>
      </c>
      <c r="R400" s="10">
        <f t="shared" si="177"/>
        <v>0</v>
      </c>
    </row>
    <row r="401" spans="1:18" s="8" customFormat="1">
      <c r="A401" s="73">
        <v>6</v>
      </c>
      <c r="B401" s="73"/>
      <c r="C401" s="12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3">
        <f t="shared" si="173"/>
        <v>0</v>
      </c>
      <c r="O401" s="9">
        <f t="shared" si="174"/>
        <v>0</v>
      </c>
      <c r="P401" s="4">
        <f t="shared" si="175"/>
        <v>0</v>
      </c>
      <c r="Q401" s="11">
        <f t="shared" si="176"/>
        <v>0</v>
      </c>
      <c r="R401" s="10">
        <f t="shared" si="177"/>
        <v>0</v>
      </c>
    </row>
    <row r="402" spans="1:18" s="8" customFormat="1">
      <c r="A402" s="73">
        <v>7</v>
      </c>
      <c r="B402" s="73"/>
      <c r="C402" s="12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3">
        <f t="shared" si="173"/>
        <v>0</v>
      </c>
      <c r="O402" s="9">
        <f t="shared" si="174"/>
        <v>0</v>
      </c>
      <c r="P402" s="4">
        <f t="shared" si="175"/>
        <v>0</v>
      </c>
      <c r="Q402" s="11">
        <f t="shared" si="176"/>
        <v>0</v>
      </c>
      <c r="R402" s="10">
        <f t="shared" si="177"/>
        <v>0</v>
      </c>
    </row>
    <row r="403" spans="1:18" s="8" customFormat="1">
      <c r="A403" s="73">
        <v>8</v>
      </c>
      <c r="B403" s="73"/>
      <c r="C403" s="12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3">
        <f t="shared" si="173"/>
        <v>0</v>
      </c>
      <c r="O403" s="9">
        <f t="shared" si="174"/>
        <v>0</v>
      </c>
      <c r="P403" s="4">
        <f t="shared" si="175"/>
        <v>0</v>
      </c>
      <c r="Q403" s="11">
        <f t="shared" si="176"/>
        <v>0</v>
      </c>
      <c r="R403" s="10">
        <f t="shared" si="177"/>
        <v>0</v>
      </c>
    </row>
    <row r="404" spans="1:18" s="8" customFormat="1">
      <c r="A404" s="73">
        <v>9</v>
      </c>
      <c r="B404" s="73"/>
      <c r="C404" s="12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3">
        <f t="shared" si="173"/>
        <v>0</v>
      </c>
      <c r="O404" s="9">
        <f t="shared" si="174"/>
        <v>0</v>
      </c>
      <c r="P404" s="4">
        <f t="shared" si="175"/>
        <v>0</v>
      </c>
      <c r="Q404" s="11">
        <f t="shared" si="176"/>
        <v>0</v>
      </c>
      <c r="R404" s="10">
        <f t="shared" si="177"/>
        <v>0</v>
      </c>
    </row>
    <row r="405" spans="1:18" s="8" customFormat="1">
      <c r="A405" s="73">
        <v>10</v>
      </c>
      <c r="B405" s="73"/>
      <c r="C405" s="12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3">
        <f t="shared" si="173"/>
        <v>0</v>
      </c>
      <c r="O405" s="9">
        <f t="shared" si="174"/>
        <v>0</v>
      </c>
      <c r="P405" s="4">
        <f t="shared" si="175"/>
        <v>0</v>
      </c>
      <c r="Q405" s="11">
        <f t="shared" si="176"/>
        <v>0</v>
      </c>
      <c r="R405" s="10">
        <f t="shared" si="177"/>
        <v>0</v>
      </c>
    </row>
    <row r="406" spans="1:18" s="8" customFormat="1">
      <c r="A406" s="82" t="s">
        <v>36</v>
      </c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4"/>
      <c r="R406" s="10">
        <f>SUM(R396:R405)</f>
        <v>15.857520000000003</v>
      </c>
    </row>
    <row r="407" spans="1:18" s="8" customFormat="1" ht="15.75">
      <c r="A407" s="24" t="s">
        <v>37</v>
      </c>
      <c r="B407" s="24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7"/>
    </row>
    <row r="408" spans="1:18" s="8" customFormat="1">
      <c r="A408" s="49" t="s">
        <v>49</v>
      </c>
      <c r="B408" s="49"/>
      <c r="C408" s="49"/>
      <c r="D408" s="49"/>
      <c r="E408" s="49"/>
      <c r="F408" s="49"/>
      <c r="G408" s="49"/>
      <c r="H408" s="49"/>
      <c r="I408" s="49"/>
      <c r="J408" s="56"/>
      <c r="K408" s="56"/>
      <c r="L408" s="56"/>
      <c r="M408" s="56"/>
      <c r="N408" s="56"/>
      <c r="O408" s="56"/>
      <c r="P408" s="56"/>
      <c r="Q408" s="56"/>
      <c r="R408" s="57"/>
    </row>
    <row r="409" spans="1:18" s="8" customFormat="1">
      <c r="A409" s="49"/>
      <c r="B409" s="49"/>
      <c r="C409" s="49"/>
      <c r="D409" s="49"/>
      <c r="E409" s="49"/>
      <c r="F409" s="49"/>
      <c r="G409" s="49"/>
      <c r="H409" s="49"/>
      <c r="I409" s="49"/>
      <c r="J409" s="56"/>
      <c r="K409" s="56"/>
      <c r="L409" s="56"/>
      <c r="M409" s="56"/>
      <c r="N409" s="56"/>
      <c r="O409" s="56"/>
      <c r="P409" s="56"/>
      <c r="Q409" s="56"/>
      <c r="R409" s="57"/>
    </row>
    <row r="410" spans="1:18" s="8" customFormat="1">
      <c r="A410" s="76" t="s">
        <v>123</v>
      </c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68"/>
    </row>
    <row r="411" spans="1:18" s="8" customFormat="1" ht="18">
      <c r="A411" s="78" t="s">
        <v>27</v>
      </c>
      <c r="B411" s="79"/>
      <c r="C411" s="79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68"/>
    </row>
    <row r="412" spans="1:18" s="8" customFormat="1">
      <c r="A412" s="80" t="s">
        <v>124</v>
      </c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68"/>
    </row>
    <row r="413" spans="1:18" s="8" customFormat="1">
      <c r="A413" s="73">
        <v>1</v>
      </c>
      <c r="B413" s="73" t="s">
        <v>34</v>
      </c>
      <c r="C413" s="12" t="s">
        <v>35</v>
      </c>
      <c r="D413" s="73" t="s">
        <v>31</v>
      </c>
      <c r="E413" s="73">
        <v>1</v>
      </c>
      <c r="F413" s="73" t="s">
        <v>41</v>
      </c>
      <c r="G413" s="73">
        <v>1</v>
      </c>
      <c r="H413" s="73" t="s">
        <v>33</v>
      </c>
      <c r="I413" s="73"/>
      <c r="J413" s="73">
        <v>70</v>
      </c>
      <c r="K413" s="73">
        <v>23</v>
      </c>
      <c r="L413" s="73">
        <v>29</v>
      </c>
      <c r="M413" s="73" t="s">
        <v>59</v>
      </c>
      <c r="N413" s="3">
        <f t="shared" ref="N413:N422" si="178">(IF(F413="OŽ",IF(L413=1,550.8,IF(L413=2,426.38,IF(L413=3,342.14,IF(L413=4,181.44,IF(L413=5,168.48,IF(L413=6,155.52,IF(L413=7,148.5,IF(L413=8,144,0))))))))+IF(L413&lt;=8,0,IF(L413&lt;=16,137.7,IF(L413&lt;=24,108,IF(L413&lt;=32,80.1,IF(L413&lt;=36,52.2,0)))))-IF(L413&lt;=8,0,IF(L413&lt;=16,(L413-9)*2.754,IF(L413&lt;=24,(L413-17)* 2.754,IF(L413&lt;=32,(L413-25)* 2.754,IF(L413&lt;=36,(L413-33)*2.754,0))))),0)+IF(F413="PČ",IF(L413=1,449,IF(L413=2,314.6,IF(L413=3,238,IF(L413=4,172,IF(L413=5,159,IF(L413=6,145,IF(L413=7,132,IF(L413=8,119,0))))))))+IF(L413&lt;=8,0,IF(L413&lt;=16,88,IF(L413&lt;=24,55,IF(L413&lt;=32,22,0))))-IF(L413&lt;=8,0,IF(L413&lt;=16,(L413-9)*2.245,IF(L413&lt;=24,(L413-17)*2.245,IF(L413&lt;=32,(L413-25)*2.245,0)))),0)+IF(F413="PČneol",IF(L413=1,85,IF(L413=2,64.61,IF(L413=3,50.76,IF(L413=4,16.25,IF(L413=5,15,IF(L413=6,13.75,IF(L413=7,12.5,IF(L413=8,11.25,0))))))))+IF(L413&lt;=8,0,IF(L413&lt;=16,9,0))-IF(L413&lt;=8,0,IF(L413&lt;=16,(L413-9)*0.425,0)),0)+IF(F413="PŽ",IF(L413=1,85,IF(L413=2,59.5,IF(L413=3,45,IF(L413=4,32.5,IF(L413=5,30,IF(L413=6,27.5,IF(L413=7,25,IF(L413=8,22.5,0))))))))+IF(L413&lt;=8,0,IF(L413&lt;=16,19,IF(L413&lt;=24,13,IF(L413&lt;=32,8,0))))-IF(L413&lt;=8,0,IF(L413&lt;=16,(L413-9)*0.425,IF(L413&lt;=24,(L413-17)*0.425,IF(L413&lt;=32,(L413-25)*0.425,0)))),0)+IF(F413="EČ",IF(L413=1,204,IF(L413=2,156.24,IF(L413=3,123.84,IF(L413=4,72,IF(L413=5,66,IF(L413=6,60,IF(L413=7,54,IF(L413=8,48,0))))))))+IF(L413&lt;=8,0,IF(L413&lt;=16,40,IF(L413&lt;=24,25,0)))-IF(L413&lt;=8,0,IF(L413&lt;=16,(L413-9)*1.02,IF(L413&lt;=24,(L413-17)*1.02,0))),0)+IF(F413="EČneol",IF(L413=1,68,IF(L413=2,51.69,IF(L413=3,40.61,IF(L413=4,13,IF(L413=5,12,IF(L413=6,11,IF(L413=7,10,IF(L413=8,9,0)))))))))+IF(F413="EŽ",IF(L413=1,68,IF(L413=2,47.6,IF(L413=3,36,IF(L413=4,18,IF(L413=5,16.5,IF(L413=6,15,IF(L413=7,13.5,IF(L413=8,12,0))))))))+IF(L413&lt;=8,0,IF(L413&lt;=16,10,IF(L413&lt;=24,6,0)))-IF(L413&lt;=8,0,IF(L413&lt;=16,(L413-9)*0.34,IF(L413&lt;=24,(L413-17)*0.34,0))),0)+IF(F413="PT",IF(L413=1,68,IF(L413=2,52.08,IF(L413=3,41.28,IF(L413=4,24,IF(L413=5,22,IF(L413=6,20,IF(L413=7,18,IF(L413=8,16,0))))))))+IF(L413&lt;=8,0,IF(L413&lt;=16,13,IF(L413&lt;=24,9,IF(L413&lt;=32,4,0))))-IF(L413&lt;=8,0,IF(L413&lt;=16,(L413-9)*0.34,IF(L413&lt;=24,(L413-17)*0.34,IF(L413&lt;=32,(L413-25)*0.34,0)))),0)+IF(F413="JOŽ",IF(L413=1,85,IF(L413=2,59.5,IF(L413=3,45,IF(L413=4,32.5,IF(L413=5,30,IF(L413=6,27.5,IF(L413=7,25,IF(L413=8,22.5,0))))))))+IF(L413&lt;=8,0,IF(L413&lt;=16,19,IF(L413&lt;=24,13,0)))-IF(L413&lt;=8,0,IF(L413&lt;=16,(L413-9)*0.425,IF(L413&lt;=24,(L413-17)*0.425,0))),0)+IF(F413="JPČ",IF(L413=1,68,IF(L413=2,47.6,IF(L413=3,36,IF(L413=4,26,IF(L413=5,24,IF(L413=6,22,IF(L413=7,20,IF(L413=8,18,0))))))))+IF(L413&lt;=8,0,IF(L413&lt;=16,13,IF(L413&lt;=24,9,0)))-IF(L413&lt;=8,0,IF(L413&lt;=16,(L413-9)*0.34,IF(L413&lt;=24,(L413-17)*0.34,0))),0)+IF(F413="JEČ",IF(L413=1,34,IF(L413=2,26.04,IF(L413=3,20.6,IF(L413=4,12,IF(L413=5,11,IF(L413=6,10,IF(L413=7,9,IF(L413=8,8,0))))))))+IF(L413&lt;=8,0,IF(L413&lt;=16,6,0))-IF(L413&lt;=8,0,IF(L413&lt;=16,(L413-9)*0.17,0)),0)+IF(F413="JEOF",IF(L413=1,34,IF(L413=2,26.04,IF(L413=3,20.6,IF(L413=4,12,IF(L413=5,11,IF(L413=6,10,IF(L413=7,9,IF(L413=8,8,0))))))))+IF(L413&lt;=8,0,IF(L413&lt;=16,6,0))-IF(L413&lt;=8,0,IF(L413&lt;=16,(L413-9)*0.17,0)),0)+IF(F413="JnPČ",IF(L413=1,51,IF(L413=2,35.7,IF(L413=3,27,IF(L413=4,19.5,IF(L413=5,18,IF(L413=6,16.5,IF(L413=7,15,IF(L413=8,13.5,0))))))))+IF(L413&lt;=8,0,IF(L413&lt;=16,10,0))-IF(L413&lt;=8,0,IF(L413&lt;=16,(L413-9)*0.255,0)),0)+IF(F413="JnEČ",IF(L413=1,25.5,IF(L413=2,19.53,IF(L413=3,15.48,IF(L413=4,9,IF(L413=5,8.25,IF(L413=6,7.5,IF(L413=7,6.75,IF(L413=8,6,0))))))))+IF(L413&lt;=8,0,IF(L413&lt;=16,5,0))-IF(L413&lt;=8,0,IF(L413&lt;=16,(L413-9)*0.1275,0)),0)+IF(F413="JčPČ",IF(L413=1,21.25,IF(L413=2,14.5,IF(L413=3,11.5,IF(L413=4,7,IF(L413=5,6.5,IF(L413=6,6,IF(L413=7,5.5,IF(L413=8,5,0))))))))+IF(L413&lt;=8,0,IF(L413&lt;=16,4,0))-IF(L413&lt;=8,0,IF(L413&lt;=16,(L413-9)*0.10625,0)),0)+IF(F413="JčEČ",IF(L413=1,17,IF(L413=2,13.02,IF(L413=3,10.32,IF(L413=4,6,IF(L413=5,5.5,IF(L413=6,5,IF(L413=7,4.5,IF(L413=8,4,0))))))))+IF(L413&lt;=8,0,IF(L413&lt;=16,3,0))-IF(L413&lt;=8,0,IF(L413&lt;=16,(L413-9)*0.085,0)),0)+IF(F413="NEAK",IF(L413=1,11.48,IF(L413=2,8.79,IF(L413=3,6.97,IF(L413=4,4.05,IF(L413=5,3.71,IF(L413=6,3.38,IF(L413=7,3.04,IF(L413=8,2.7,0))))))))+IF(L413&lt;=8,0,IF(L413&lt;=16,2,IF(L413&lt;=24,1.3,0)))-IF(L413&lt;=8,0,IF(L413&lt;=16,(L413-9)*0.0574,IF(L413&lt;=24,(L413-17)*0.0574,0))),0))*IF(L413&lt;0,1,IF(OR(F413="PČ",F413="PŽ",F413="PT"),IF(J413&lt;32,J413/32,1),1))* IF(L413&lt;0,1,IF(OR(F413="EČ",F413="EŽ",F413="JOŽ",F413="JPČ",F413="NEAK"),IF(J413&lt;24,J413/24,1),1))*IF(L413&lt;0,1,IF(OR(F413="PČneol",F413="JEČ",F413="JEOF",F413="JnPČ",F413="JnEČ",F413="JčPČ",F413="JčEČ"),IF(J413&lt;16,J413/16,1),1))*IF(L413&lt;0,1,IF(F413="EČneol",IF(J413&lt;8,J413/8,1),1))</f>
        <v>13.02</v>
      </c>
      <c r="O413" s="9">
        <f t="shared" ref="O413:O422" si="179">IF(F413="OŽ",N413,IF(H413="Ne",IF(J413*0.3&lt;J413-L413,N413,0),IF(J413*0.1&lt;J413-L413,N413,0)))</f>
        <v>13.02</v>
      </c>
      <c r="P413" s="4">
        <f t="shared" ref="P413:P422" si="180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4.0410000000000004</v>
      </c>
      <c r="Q413" s="11">
        <f t="shared" ref="Q413:Q422" si="181">IF(ISERROR(P413*100/N413),0,(P413*100/N413))</f>
        <v>31.036866359447007</v>
      </c>
      <c r="R413" s="10">
        <f t="shared" ref="R413:R422" si="182">IF(Q413&lt;=30,O413+P413,O413+O413*0.3)*IF(G413=1,0.4,IF(G413=2,0.75,IF(G413="1 (kas 4 m. 1 k. nerengiamos)",0.52,1)))*IF(D413="olimpinė",1,IF(M413="Ne",0.5,1))*IF(OR(A$5="Lietuvos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federacija"),IF(OR(J413&lt;8,K413&lt;16),0,1),1)*E413*IF(I413&lt;=1,1,1/I413)*IF(OR(A$5="Lietuvos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7.1089199999999995</v>
      </c>
    </row>
    <row r="414" spans="1:18" s="8" customFormat="1">
      <c r="A414" s="73">
        <v>2</v>
      </c>
      <c r="B414" s="73"/>
      <c r="C414" s="12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3">
        <f t="shared" si="178"/>
        <v>0</v>
      </c>
      <c r="O414" s="9">
        <f t="shared" si="179"/>
        <v>0</v>
      </c>
      <c r="P414" s="4">
        <f t="shared" si="180"/>
        <v>0</v>
      </c>
      <c r="Q414" s="11">
        <f t="shared" si="181"/>
        <v>0</v>
      </c>
      <c r="R414" s="10">
        <f t="shared" si="182"/>
        <v>0</v>
      </c>
    </row>
    <row r="415" spans="1:18" s="8" customFormat="1">
      <c r="A415" s="73">
        <v>3</v>
      </c>
      <c r="B415" s="73"/>
      <c r="C415" s="12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3">
        <f t="shared" si="178"/>
        <v>0</v>
      </c>
      <c r="O415" s="9">
        <f t="shared" si="179"/>
        <v>0</v>
      </c>
      <c r="P415" s="4">
        <f t="shared" si="180"/>
        <v>0</v>
      </c>
      <c r="Q415" s="11">
        <f t="shared" si="181"/>
        <v>0</v>
      </c>
      <c r="R415" s="10">
        <f t="shared" si="182"/>
        <v>0</v>
      </c>
    </row>
    <row r="416" spans="1:18" s="8" customFormat="1">
      <c r="A416" s="73">
        <v>4</v>
      </c>
      <c r="B416" s="73"/>
      <c r="C416" s="12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3">
        <f t="shared" si="178"/>
        <v>0</v>
      </c>
      <c r="O416" s="9">
        <f t="shared" si="179"/>
        <v>0</v>
      </c>
      <c r="P416" s="4">
        <f t="shared" si="180"/>
        <v>0</v>
      </c>
      <c r="Q416" s="11">
        <f t="shared" si="181"/>
        <v>0</v>
      </c>
      <c r="R416" s="10">
        <f t="shared" si="182"/>
        <v>0</v>
      </c>
    </row>
    <row r="417" spans="1:18" s="8" customFormat="1">
      <c r="A417" s="73">
        <v>5</v>
      </c>
      <c r="B417" s="73"/>
      <c r="C417" s="12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3">
        <f t="shared" si="178"/>
        <v>0</v>
      </c>
      <c r="O417" s="9">
        <f t="shared" si="179"/>
        <v>0</v>
      </c>
      <c r="P417" s="4">
        <f t="shared" si="180"/>
        <v>0</v>
      </c>
      <c r="Q417" s="11">
        <f t="shared" si="181"/>
        <v>0</v>
      </c>
      <c r="R417" s="10">
        <f t="shared" si="182"/>
        <v>0</v>
      </c>
    </row>
    <row r="418" spans="1:18" s="8" customFormat="1">
      <c r="A418" s="73">
        <v>6</v>
      </c>
      <c r="B418" s="73"/>
      <c r="C418" s="12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3">
        <f t="shared" si="178"/>
        <v>0</v>
      </c>
      <c r="O418" s="9">
        <f t="shared" si="179"/>
        <v>0</v>
      </c>
      <c r="P418" s="4">
        <f t="shared" si="180"/>
        <v>0</v>
      </c>
      <c r="Q418" s="11">
        <f t="shared" si="181"/>
        <v>0</v>
      </c>
      <c r="R418" s="10">
        <f t="shared" si="182"/>
        <v>0</v>
      </c>
    </row>
    <row r="419" spans="1:18" s="8" customFormat="1">
      <c r="A419" s="73">
        <v>7</v>
      </c>
      <c r="B419" s="73"/>
      <c r="C419" s="12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3">
        <f t="shared" si="178"/>
        <v>0</v>
      </c>
      <c r="O419" s="9">
        <f t="shared" si="179"/>
        <v>0</v>
      </c>
      <c r="P419" s="4">
        <f t="shared" si="180"/>
        <v>0</v>
      </c>
      <c r="Q419" s="11">
        <f t="shared" si="181"/>
        <v>0</v>
      </c>
      <c r="R419" s="10">
        <f t="shared" si="182"/>
        <v>0</v>
      </c>
    </row>
    <row r="420" spans="1:18" s="8" customFormat="1">
      <c r="A420" s="73">
        <v>8</v>
      </c>
      <c r="B420" s="73"/>
      <c r="C420" s="12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3">
        <f t="shared" si="178"/>
        <v>0</v>
      </c>
      <c r="O420" s="9">
        <f t="shared" si="179"/>
        <v>0</v>
      </c>
      <c r="P420" s="4">
        <f t="shared" si="180"/>
        <v>0</v>
      </c>
      <c r="Q420" s="11">
        <f t="shared" si="181"/>
        <v>0</v>
      </c>
      <c r="R420" s="10">
        <f t="shared" si="182"/>
        <v>0</v>
      </c>
    </row>
    <row r="421" spans="1:18" s="8" customFormat="1">
      <c r="A421" s="73">
        <v>9</v>
      </c>
      <c r="B421" s="73"/>
      <c r="C421" s="12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3">
        <f t="shared" si="178"/>
        <v>0</v>
      </c>
      <c r="O421" s="9">
        <f t="shared" si="179"/>
        <v>0</v>
      </c>
      <c r="P421" s="4">
        <f t="shared" si="180"/>
        <v>0</v>
      </c>
      <c r="Q421" s="11">
        <f t="shared" si="181"/>
        <v>0</v>
      </c>
      <c r="R421" s="10">
        <f t="shared" si="182"/>
        <v>0</v>
      </c>
    </row>
    <row r="422" spans="1:18" s="8" customFormat="1">
      <c r="A422" s="73">
        <v>10</v>
      </c>
      <c r="B422" s="73"/>
      <c r="C422" s="12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3">
        <f t="shared" si="178"/>
        <v>0</v>
      </c>
      <c r="O422" s="9">
        <f t="shared" si="179"/>
        <v>0</v>
      </c>
      <c r="P422" s="4">
        <f t="shared" si="180"/>
        <v>0</v>
      </c>
      <c r="Q422" s="11">
        <f t="shared" si="181"/>
        <v>0</v>
      </c>
      <c r="R422" s="10">
        <f t="shared" si="182"/>
        <v>0</v>
      </c>
    </row>
    <row r="423" spans="1:18" s="8" customFormat="1">
      <c r="A423" s="82" t="s">
        <v>36</v>
      </c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4"/>
      <c r="R423" s="10">
        <f>SUM(R413:R422)</f>
        <v>7.1089199999999995</v>
      </c>
    </row>
    <row r="424" spans="1:18" s="8" customFormat="1" ht="15.75">
      <c r="A424" s="24" t="s">
        <v>37</v>
      </c>
      <c r="B424" s="24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7"/>
    </row>
    <row r="425" spans="1:18" s="8" customFormat="1">
      <c r="A425" s="49" t="s">
        <v>49</v>
      </c>
      <c r="B425" s="49"/>
      <c r="C425" s="49"/>
      <c r="D425" s="49"/>
      <c r="E425" s="49"/>
      <c r="F425" s="49"/>
      <c r="G425" s="49"/>
      <c r="H425" s="49"/>
      <c r="I425" s="49"/>
      <c r="J425" s="56"/>
      <c r="K425" s="56"/>
      <c r="L425" s="56"/>
      <c r="M425" s="56"/>
      <c r="N425" s="56"/>
      <c r="O425" s="56"/>
      <c r="P425" s="56"/>
      <c r="Q425" s="56"/>
      <c r="R425" s="57"/>
    </row>
    <row r="426" spans="1:18" s="8" customFormat="1">
      <c r="A426" s="49"/>
      <c r="B426" s="49"/>
      <c r="C426" s="49"/>
      <c r="D426" s="49"/>
      <c r="E426" s="49"/>
      <c r="F426" s="49"/>
      <c r="G426" s="49"/>
      <c r="H426" s="49"/>
      <c r="I426" s="49"/>
      <c r="J426" s="56"/>
      <c r="K426" s="56"/>
      <c r="L426" s="56"/>
      <c r="M426" s="56"/>
      <c r="N426" s="56"/>
      <c r="O426" s="56"/>
      <c r="P426" s="56"/>
      <c r="Q426" s="56"/>
      <c r="R426" s="57"/>
    </row>
    <row r="427" spans="1:18" s="8" customFormat="1">
      <c r="A427" s="76" t="s">
        <v>125</v>
      </c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68"/>
    </row>
    <row r="428" spans="1:18" s="8" customFormat="1" ht="18">
      <c r="A428" s="78" t="s">
        <v>27</v>
      </c>
      <c r="B428" s="79"/>
      <c r="C428" s="79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68"/>
    </row>
    <row r="429" spans="1:18" s="8" customFormat="1">
      <c r="A429" s="80" t="s">
        <v>126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68"/>
    </row>
    <row r="430" spans="1:18" s="8" customFormat="1">
      <c r="A430" s="73">
        <v>1</v>
      </c>
      <c r="B430" s="73" t="s">
        <v>34</v>
      </c>
      <c r="C430" s="12" t="s">
        <v>35</v>
      </c>
      <c r="D430" s="73" t="s">
        <v>31</v>
      </c>
      <c r="E430" s="73">
        <v>1</v>
      </c>
      <c r="F430" s="73" t="s">
        <v>54</v>
      </c>
      <c r="G430" s="73">
        <v>1</v>
      </c>
      <c r="H430" s="73" t="s">
        <v>33</v>
      </c>
      <c r="I430" s="73"/>
      <c r="J430" s="73">
        <v>43</v>
      </c>
      <c r="K430" s="73">
        <v>22</v>
      </c>
      <c r="L430" s="73">
        <v>26</v>
      </c>
      <c r="M430" s="73" t="s">
        <v>59</v>
      </c>
      <c r="N430" s="3">
        <f t="shared" ref="N430:N439" si="183">(IF(F430="OŽ",IF(L430=1,550.8,IF(L430=2,426.38,IF(L430=3,342.14,IF(L430=4,181.44,IF(L430=5,168.48,IF(L430=6,155.52,IF(L430=7,148.5,IF(L430=8,144,0))))))))+IF(L430&lt;=8,0,IF(L430&lt;=16,137.7,IF(L430&lt;=24,108,IF(L430&lt;=32,80.1,IF(L430&lt;=36,52.2,0)))))-IF(L430&lt;=8,0,IF(L430&lt;=16,(L430-9)*2.754,IF(L430&lt;=24,(L430-17)* 2.754,IF(L430&lt;=32,(L430-25)* 2.754,IF(L430&lt;=36,(L430-33)*2.754,0))))),0)+IF(F430="PČ",IF(L430=1,449,IF(L430=2,314.6,IF(L430=3,238,IF(L430=4,172,IF(L430=5,159,IF(L430=6,145,IF(L430=7,132,IF(L430=8,119,0))))))))+IF(L430&lt;=8,0,IF(L430&lt;=16,88,IF(L430&lt;=24,55,IF(L430&lt;=32,22,0))))-IF(L430&lt;=8,0,IF(L430&lt;=16,(L430-9)*2.245,IF(L430&lt;=24,(L430-17)*2.245,IF(L430&lt;=32,(L430-25)*2.245,0)))),0)+IF(F430="PČneol",IF(L430=1,85,IF(L430=2,64.61,IF(L430=3,50.76,IF(L430=4,16.25,IF(L430=5,15,IF(L430=6,13.75,IF(L430=7,12.5,IF(L430=8,11.25,0))))))))+IF(L430&lt;=8,0,IF(L430&lt;=16,9,0))-IF(L430&lt;=8,0,IF(L430&lt;=16,(L430-9)*0.425,0)),0)+IF(F430="PŽ",IF(L430=1,85,IF(L430=2,59.5,IF(L430=3,45,IF(L430=4,32.5,IF(L430=5,30,IF(L430=6,27.5,IF(L430=7,25,IF(L430=8,22.5,0))))))))+IF(L430&lt;=8,0,IF(L430&lt;=16,19,IF(L430&lt;=24,13,IF(L430&lt;=32,8,0))))-IF(L430&lt;=8,0,IF(L430&lt;=16,(L430-9)*0.425,IF(L430&lt;=24,(L430-17)*0.425,IF(L430&lt;=32,(L430-25)*0.425,0)))),0)+IF(F430="EČ",IF(L430=1,204,IF(L430=2,156.24,IF(L430=3,123.84,IF(L430=4,72,IF(L430=5,66,IF(L430=6,60,IF(L430=7,54,IF(L430=8,48,0))))))))+IF(L430&lt;=8,0,IF(L430&lt;=16,40,IF(L430&lt;=24,25,0)))-IF(L430&lt;=8,0,IF(L430&lt;=16,(L430-9)*1.02,IF(L430&lt;=24,(L430-17)*1.02,0))),0)+IF(F430="EČneol",IF(L430=1,68,IF(L430=2,51.69,IF(L430=3,40.61,IF(L430=4,13,IF(L430=5,12,IF(L430=6,11,IF(L430=7,10,IF(L430=8,9,0)))))))))+IF(F430="EŽ",IF(L430=1,68,IF(L430=2,47.6,IF(L430=3,36,IF(L430=4,18,IF(L430=5,16.5,IF(L430=6,15,IF(L430=7,13.5,IF(L430=8,12,0))))))))+IF(L430&lt;=8,0,IF(L430&lt;=16,10,IF(L430&lt;=24,6,0)))-IF(L430&lt;=8,0,IF(L430&lt;=16,(L430-9)*0.34,IF(L430&lt;=24,(L430-17)*0.34,0))),0)+IF(F430="PT",IF(L430=1,68,IF(L430=2,52.08,IF(L430=3,41.28,IF(L430=4,24,IF(L430=5,22,IF(L430=6,20,IF(L430=7,18,IF(L430=8,16,0))))))))+IF(L430&lt;=8,0,IF(L430&lt;=16,13,IF(L430&lt;=24,9,IF(L430&lt;=32,4,0))))-IF(L430&lt;=8,0,IF(L430&lt;=16,(L430-9)*0.34,IF(L430&lt;=24,(L430-17)*0.34,IF(L430&lt;=32,(L430-25)*0.34,0)))),0)+IF(F430="JOŽ",IF(L430=1,85,IF(L430=2,59.5,IF(L430=3,45,IF(L430=4,32.5,IF(L430=5,30,IF(L430=6,27.5,IF(L430=7,25,IF(L430=8,22.5,0))))))))+IF(L430&lt;=8,0,IF(L430&lt;=16,19,IF(L430&lt;=24,13,0)))-IF(L430&lt;=8,0,IF(L430&lt;=16,(L430-9)*0.425,IF(L430&lt;=24,(L430-17)*0.425,0))),0)+IF(F430="JPČ",IF(L430=1,68,IF(L430=2,47.6,IF(L430=3,36,IF(L430=4,26,IF(L430=5,24,IF(L430=6,22,IF(L430=7,20,IF(L430=8,18,0))))))))+IF(L430&lt;=8,0,IF(L430&lt;=16,13,IF(L430&lt;=24,9,0)))-IF(L430&lt;=8,0,IF(L430&lt;=16,(L430-9)*0.34,IF(L430&lt;=24,(L430-17)*0.34,0))),0)+IF(F430="JEČ",IF(L430=1,34,IF(L430=2,26.04,IF(L430=3,20.6,IF(L430=4,12,IF(L430=5,11,IF(L430=6,10,IF(L430=7,9,IF(L430=8,8,0))))))))+IF(L430&lt;=8,0,IF(L430&lt;=16,6,0))-IF(L430&lt;=8,0,IF(L430&lt;=16,(L430-9)*0.17,0)),0)+IF(F430="JEOF",IF(L430=1,34,IF(L430=2,26.04,IF(L430=3,20.6,IF(L430=4,12,IF(L430=5,11,IF(L430=6,10,IF(L430=7,9,IF(L430=8,8,0))))))))+IF(L430&lt;=8,0,IF(L430&lt;=16,6,0))-IF(L430&lt;=8,0,IF(L430&lt;=16,(L430-9)*0.17,0)),0)+IF(F430="JnPČ",IF(L430=1,51,IF(L430=2,35.7,IF(L430=3,27,IF(L430=4,19.5,IF(L430=5,18,IF(L430=6,16.5,IF(L430=7,15,IF(L430=8,13.5,0))))))))+IF(L430&lt;=8,0,IF(L430&lt;=16,10,0))-IF(L430&lt;=8,0,IF(L430&lt;=16,(L430-9)*0.255,0)),0)+IF(F430="JnEČ",IF(L430=1,25.5,IF(L430=2,19.53,IF(L430=3,15.48,IF(L430=4,9,IF(L430=5,8.25,IF(L430=6,7.5,IF(L430=7,6.75,IF(L430=8,6,0))))))))+IF(L430&lt;=8,0,IF(L430&lt;=16,5,0))-IF(L430&lt;=8,0,IF(L430&lt;=16,(L430-9)*0.1275,0)),0)+IF(F430="JčPČ",IF(L430=1,21.25,IF(L430=2,14.5,IF(L430=3,11.5,IF(L430=4,7,IF(L430=5,6.5,IF(L430=6,6,IF(L430=7,5.5,IF(L430=8,5,0))))))))+IF(L430&lt;=8,0,IF(L430&lt;=16,4,0))-IF(L430&lt;=8,0,IF(L430&lt;=16,(L430-9)*0.10625,0)),0)+IF(F430="JčEČ",IF(L430=1,17,IF(L430=2,13.02,IF(L430=3,10.32,IF(L430=4,6,IF(L430=5,5.5,IF(L430=6,5,IF(L430=7,4.5,IF(L430=8,4,0))))))))+IF(L430&lt;=8,0,IF(L430&lt;=16,3,0))-IF(L430&lt;=8,0,IF(L430&lt;=16,(L430-9)*0.085,0)),0)+IF(F430="NEAK",IF(L430=1,11.48,IF(L430=2,8.79,IF(L430=3,6.97,IF(L430=4,4.05,IF(L430=5,3.71,IF(L430=6,3.38,IF(L430=7,3.04,IF(L430=8,2.7,0))))))))+IF(L430&lt;=8,0,IF(L430&lt;=16,2,IF(L430&lt;=24,1.3,0)))-IF(L430&lt;=8,0,IF(L430&lt;=16,(L430-9)*0.0574,IF(L430&lt;=24,(L430-17)*0.0574,0))),0))*IF(L430&lt;0,1,IF(OR(F430="PČ",F430="PŽ",F430="PT"),IF(J430&lt;32,J430/32,1),1))* IF(L430&lt;0,1,IF(OR(F430="EČ",F430="EŽ",F430="JOŽ",F430="JPČ",F430="NEAK"),IF(J430&lt;24,J430/24,1),1))*IF(L430&lt;0,1,IF(OR(F430="PČneol",F430="JEČ",F430="JEOF",F430="JnPČ",F430="JnEČ",F430="JčPČ",F430="JčEČ"),IF(J430&lt;16,J430/16,1),1))*IF(L430&lt;0,1,IF(F430="EČneol",IF(J430&lt;8,J430/8,1),1))</f>
        <v>0</v>
      </c>
      <c r="O430" s="9">
        <f t="shared" ref="O430:O439" si="184">IF(F430="OŽ",N430,IF(H430="Ne",IF(J430*0.3&lt;J430-L430,N430,0),IF(J430*0.1&lt;J430-L430,N430,0)))</f>
        <v>0</v>
      </c>
      <c r="P430" s="4">
        <f t="shared" ref="P430:P439" si="185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9" si="186">IF(ISERROR(P430*100/N430),0,(P430*100/N430))</f>
        <v>0</v>
      </c>
      <c r="R430" s="10">
        <f t="shared" ref="R430:R439" si="187">IF(Q430&lt;=30,O430+P430,O430+O430*0.3)*IF(G430=1,0.4,IF(G430=2,0.75,IF(G430="1 (kas 4 m. 1 k. nerengiamos)",0.52,1)))*IF(D430="olimpinė",1,IF(M430="Ne",0.5,1))*IF(OR(A$5="Lietuvos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federacija"),IF(OR(J430&lt;8,K430&lt;16),0,1),1)*E430*IF(I430&lt;=1,1,1/I430)*IF(OR(A$5="Lietuvos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1" spans="1:18" s="8" customFormat="1">
      <c r="A431" s="73">
        <v>2</v>
      </c>
      <c r="B431" s="73" t="s">
        <v>73</v>
      </c>
      <c r="C431" s="12" t="s">
        <v>35</v>
      </c>
      <c r="D431" s="73" t="s">
        <v>31</v>
      </c>
      <c r="E431" s="73">
        <v>1</v>
      </c>
      <c r="F431" s="73" t="s">
        <v>54</v>
      </c>
      <c r="G431" s="73">
        <v>1</v>
      </c>
      <c r="H431" s="73" t="s">
        <v>33</v>
      </c>
      <c r="I431" s="73"/>
      <c r="J431" s="73">
        <v>43</v>
      </c>
      <c r="K431" s="73">
        <v>22</v>
      </c>
      <c r="L431" s="73">
        <v>41</v>
      </c>
      <c r="M431" s="73" t="s">
        <v>59</v>
      </c>
      <c r="N431" s="3">
        <f t="shared" si="183"/>
        <v>0</v>
      </c>
      <c r="O431" s="9">
        <f t="shared" si="184"/>
        <v>0</v>
      </c>
      <c r="P431" s="4">
        <f t="shared" si="185"/>
        <v>0</v>
      </c>
      <c r="Q431" s="11">
        <f t="shared" si="186"/>
        <v>0</v>
      </c>
      <c r="R431" s="10">
        <f t="shared" si="187"/>
        <v>0</v>
      </c>
    </row>
    <row r="432" spans="1:18" s="8" customFormat="1">
      <c r="A432" s="73">
        <v>3</v>
      </c>
      <c r="B432" s="73"/>
      <c r="C432" s="12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3">
        <f t="shared" si="183"/>
        <v>0</v>
      </c>
      <c r="O432" s="9">
        <f t="shared" si="184"/>
        <v>0</v>
      </c>
      <c r="P432" s="4">
        <f t="shared" si="185"/>
        <v>0</v>
      </c>
      <c r="Q432" s="11">
        <f t="shared" si="186"/>
        <v>0</v>
      </c>
      <c r="R432" s="10">
        <f t="shared" si="187"/>
        <v>0</v>
      </c>
    </row>
    <row r="433" spans="1:18" s="8" customFormat="1">
      <c r="A433" s="73">
        <v>4</v>
      </c>
      <c r="B433" s="73"/>
      <c r="C433" s="12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3">
        <f t="shared" si="183"/>
        <v>0</v>
      </c>
      <c r="O433" s="9">
        <f t="shared" si="184"/>
        <v>0</v>
      </c>
      <c r="P433" s="4">
        <f t="shared" si="185"/>
        <v>0</v>
      </c>
      <c r="Q433" s="11">
        <f t="shared" si="186"/>
        <v>0</v>
      </c>
      <c r="R433" s="10">
        <f t="shared" si="187"/>
        <v>0</v>
      </c>
    </row>
    <row r="434" spans="1:18" s="8" customFormat="1">
      <c r="A434" s="73">
        <v>5</v>
      </c>
      <c r="B434" s="73"/>
      <c r="C434" s="12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3">
        <f t="shared" si="183"/>
        <v>0</v>
      </c>
      <c r="O434" s="9">
        <f t="shared" si="184"/>
        <v>0</v>
      </c>
      <c r="P434" s="4">
        <f t="shared" si="185"/>
        <v>0</v>
      </c>
      <c r="Q434" s="11">
        <f t="shared" si="186"/>
        <v>0</v>
      </c>
      <c r="R434" s="10">
        <f t="shared" si="187"/>
        <v>0</v>
      </c>
    </row>
    <row r="435" spans="1:18" s="8" customFormat="1">
      <c r="A435" s="73">
        <v>6</v>
      </c>
      <c r="B435" s="73"/>
      <c r="C435" s="12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3">
        <f t="shared" si="183"/>
        <v>0</v>
      </c>
      <c r="O435" s="9">
        <f t="shared" si="184"/>
        <v>0</v>
      </c>
      <c r="P435" s="4">
        <f t="shared" si="185"/>
        <v>0</v>
      </c>
      <c r="Q435" s="11">
        <f t="shared" si="186"/>
        <v>0</v>
      </c>
      <c r="R435" s="10">
        <f t="shared" si="187"/>
        <v>0</v>
      </c>
    </row>
    <row r="436" spans="1:18" s="8" customFormat="1">
      <c r="A436" s="73">
        <v>7</v>
      </c>
      <c r="B436" s="73"/>
      <c r="C436" s="12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3">
        <f t="shared" si="183"/>
        <v>0</v>
      </c>
      <c r="O436" s="9">
        <f t="shared" si="184"/>
        <v>0</v>
      </c>
      <c r="P436" s="4">
        <f t="shared" si="185"/>
        <v>0</v>
      </c>
      <c r="Q436" s="11">
        <f t="shared" si="186"/>
        <v>0</v>
      </c>
      <c r="R436" s="10">
        <f t="shared" si="187"/>
        <v>0</v>
      </c>
    </row>
    <row r="437" spans="1:18" s="8" customFormat="1">
      <c r="A437" s="73">
        <v>8</v>
      </c>
      <c r="B437" s="73"/>
      <c r="C437" s="12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3">
        <f t="shared" si="183"/>
        <v>0</v>
      </c>
      <c r="O437" s="9">
        <f t="shared" si="184"/>
        <v>0</v>
      </c>
      <c r="P437" s="4">
        <f t="shared" si="185"/>
        <v>0</v>
      </c>
      <c r="Q437" s="11">
        <f t="shared" si="186"/>
        <v>0</v>
      </c>
      <c r="R437" s="10">
        <f t="shared" si="187"/>
        <v>0</v>
      </c>
    </row>
    <row r="438" spans="1:18" s="8" customFormat="1">
      <c r="A438" s="73">
        <v>9</v>
      </c>
      <c r="B438" s="73"/>
      <c r="C438" s="12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3">
        <f t="shared" si="183"/>
        <v>0</v>
      </c>
      <c r="O438" s="9">
        <f t="shared" si="184"/>
        <v>0</v>
      </c>
      <c r="P438" s="4">
        <f t="shared" si="185"/>
        <v>0</v>
      </c>
      <c r="Q438" s="11">
        <f t="shared" si="186"/>
        <v>0</v>
      </c>
      <c r="R438" s="10">
        <f t="shared" si="187"/>
        <v>0</v>
      </c>
    </row>
    <row r="439" spans="1:18" s="8" customFormat="1">
      <c r="A439" s="73">
        <v>10</v>
      </c>
      <c r="B439" s="73"/>
      <c r="C439" s="12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3">
        <f t="shared" si="183"/>
        <v>0</v>
      </c>
      <c r="O439" s="9">
        <f t="shared" si="184"/>
        <v>0</v>
      </c>
      <c r="P439" s="4">
        <f t="shared" si="185"/>
        <v>0</v>
      </c>
      <c r="Q439" s="11">
        <f t="shared" si="186"/>
        <v>0</v>
      </c>
      <c r="R439" s="10">
        <f t="shared" si="187"/>
        <v>0</v>
      </c>
    </row>
    <row r="440" spans="1:18" s="8" customFormat="1">
      <c r="A440" s="82" t="s">
        <v>36</v>
      </c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4"/>
      <c r="R440" s="10">
        <f>SUM(R430:R439)</f>
        <v>0</v>
      </c>
    </row>
    <row r="441" spans="1:18" s="8" customFormat="1" ht="15.75">
      <c r="A441" s="24" t="s">
        <v>37</v>
      </c>
      <c r="B441" s="24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7"/>
    </row>
    <row r="442" spans="1:18" s="8" customFormat="1">
      <c r="A442" s="49" t="s">
        <v>49</v>
      </c>
      <c r="B442" s="49"/>
      <c r="C442" s="49"/>
      <c r="D442" s="49"/>
      <c r="E442" s="49"/>
      <c r="F442" s="49"/>
      <c r="G442" s="49"/>
      <c r="H442" s="49"/>
      <c r="I442" s="49"/>
      <c r="J442" s="56"/>
      <c r="K442" s="56"/>
      <c r="L442" s="56"/>
      <c r="M442" s="56"/>
      <c r="N442" s="56"/>
      <c r="O442" s="56"/>
      <c r="P442" s="56"/>
      <c r="Q442" s="56"/>
      <c r="R442" s="57"/>
    </row>
    <row r="443" spans="1:18" s="8" customFormat="1">
      <c r="A443" s="49"/>
      <c r="B443" s="49"/>
      <c r="C443" s="49"/>
      <c r="D443" s="49"/>
      <c r="E443" s="49"/>
      <c r="F443" s="49"/>
      <c r="G443" s="49"/>
      <c r="H443" s="49"/>
      <c r="I443" s="49"/>
      <c r="J443" s="56"/>
      <c r="K443" s="56"/>
      <c r="L443" s="56"/>
      <c r="M443" s="56"/>
      <c r="N443" s="56"/>
      <c r="O443" s="56"/>
      <c r="P443" s="56"/>
      <c r="Q443" s="56"/>
      <c r="R443" s="57"/>
    </row>
    <row r="444" spans="1:18" s="8" customFormat="1">
      <c r="A444" s="76" t="s">
        <v>120</v>
      </c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68"/>
    </row>
    <row r="445" spans="1:18" s="8" customFormat="1" ht="18">
      <c r="A445" s="78" t="s">
        <v>27</v>
      </c>
      <c r="B445" s="79"/>
      <c r="C445" s="79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68"/>
    </row>
    <row r="446" spans="1:18" s="8" customFormat="1">
      <c r="A446" s="80" t="s">
        <v>127</v>
      </c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68"/>
    </row>
    <row r="447" spans="1:18" s="8" customFormat="1">
      <c r="A447" s="73">
        <v>1</v>
      </c>
      <c r="B447" s="73" t="s">
        <v>128</v>
      </c>
      <c r="C447" s="12" t="s">
        <v>129</v>
      </c>
      <c r="D447" s="73" t="s">
        <v>45</v>
      </c>
      <c r="E447" s="73">
        <v>1</v>
      </c>
      <c r="F447" s="73" t="s">
        <v>70</v>
      </c>
      <c r="G447" s="73">
        <v>1</v>
      </c>
      <c r="H447" s="73" t="s">
        <v>59</v>
      </c>
      <c r="I447" s="73"/>
      <c r="J447" s="73">
        <v>156</v>
      </c>
      <c r="K447" s="73">
        <v>34</v>
      </c>
      <c r="L447" s="73">
        <v>86</v>
      </c>
      <c r="M447" s="73"/>
      <c r="N447" s="3">
        <f t="shared" ref="N447:N451" si="188">(IF(F447="OŽ",IF(L447=1,550.8,IF(L447=2,426.38,IF(L447=3,342.14,IF(L447=4,181.44,IF(L447=5,168.48,IF(L447=6,155.52,IF(L447=7,148.5,IF(L447=8,144,0))))))))+IF(L447&lt;=8,0,IF(L447&lt;=16,137.7,IF(L447&lt;=24,108,IF(L447&lt;=32,80.1,IF(L447&lt;=36,52.2,0)))))-IF(L447&lt;=8,0,IF(L447&lt;=16,(L447-9)*2.754,IF(L447&lt;=24,(L447-17)* 2.754,IF(L447&lt;=32,(L447-25)* 2.754,IF(L447&lt;=36,(L447-33)*2.754,0))))),0)+IF(F447="PČ",IF(L447=1,449,IF(L447=2,314.6,IF(L447=3,238,IF(L447=4,172,IF(L447=5,159,IF(L447=6,145,IF(L447=7,132,IF(L447=8,119,0))))))))+IF(L447&lt;=8,0,IF(L447&lt;=16,88,IF(L447&lt;=24,55,IF(L447&lt;=32,22,0))))-IF(L447&lt;=8,0,IF(L447&lt;=16,(L447-9)*2.245,IF(L447&lt;=24,(L447-17)*2.245,IF(L447&lt;=32,(L447-25)*2.245,0)))),0)+IF(F447="PČneol",IF(L447=1,85,IF(L447=2,64.61,IF(L447=3,50.76,IF(L447=4,16.25,IF(L447=5,15,IF(L447=6,13.75,IF(L447=7,12.5,IF(L447=8,11.25,0))))))))+IF(L447&lt;=8,0,IF(L447&lt;=16,9,0))-IF(L447&lt;=8,0,IF(L447&lt;=16,(L447-9)*0.425,0)),0)+IF(F447="PŽ",IF(L447=1,85,IF(L447=2,59.5,IF(L447=3,45,IF(L447=4,32.5,IF(L447=5,30,IF(L447=6,27.5,IF(L447=7,25,IF(L447=8,22.5,0))))))))+IF(L447&lt;=8,0,IF(L447&lt;=16,19,IF(L447&lt;=24,13,IF(L447&lt;=32,8,0))))-IF(L447&lt;=8,0,IF(L447&lt;=16,(L447-9)*0.425,IF(L447&lt;=24,(L447-17)*0.425,IF(L447&lt;=32,(L447-25)*0.425,0)))),0)+IF(F447="EČ",IF(L447=1,204,IF(L447=2,156.24,IF(L447=3,123.84,IF(L447=4,72,IF(L447=5,66,IF(L447=6,60,IF(L447=7,54,IF(L447=8,48,0))))))))+IF(L447&lt;=8,0,IF(L447&lt;=16,40,IF(L447&lt;=24,25,0)))-IF(L447&lt;=8,0,IF(L447&lt;=16,(L447-9)*1.02,IF(L447&lt;=24,(L447-17)*1.02,0))),0)+IF(F447="EČneol",IF(L447=1,68,IF(L447=2,51.69,IF(L447=3,40.61,IF(L447=4,13,IF(L447=5,12,IF(L447=6,11,IF(L447=7,10,IF(L447=8,9,0)))))))))+IF(F447="EŽ",IF(L447=1,68,IF(L447=2,47.6,IF(L447=3,36,IF(L447=4,18,IF(L447=5,16.5,IF(L447=6,15,IF(L447=7,13.5,IF(L447=8,12,0))))))))+IF(L447&lt;=8,0,IF(L447&lt;=16,10,IF(L447&lt;=24,6,0)))-IF(L447&lt;=8,0,IF(L447&lt;=16,(L447-9)*0.34,IF(L447&lt;=24,(L447-17)*0.34,0))),0)+IF(F447="PT",IF(L447=1,68,IF(L447=2,52.08,IF(L447=3,41.28,IF(L447=4,24,IF(L447=5,22,IF(L447=6,20,IF(L447=7,18,IF(L447=8,16,0))))))))+IF(L447&lt;=8,0,IF(L447&lt;=16,13,IF(L447&lt;=24,9,IF(L447&lt;=32,4,0))))-IF(L447&lt;=8,0,IF(L447&lt;=16,(L447-9)*0.34,IF(L447&lt;=24,(L447-17)*0.34,IF(L447&lt;=32,(L447-25)*0.34,0)))),0)+IF(F447="JOŽ",IF(L447=1,85,IF(L447=2,59.5,IF(L447=3,45,IF(L447=4,32.5,IF(L447=5,30,IF(L447=6,27.5,IF(L447=7,25,IF(L447=8,22.5,0))))))))+IF(L447&lt;=8,0,IF(L447&lt;=16,19,IF(L447&lt;=24,13,0)))-IF(L447&lt;=8,0,IF(L447&lt;=16,(L447-9)*0.425,IF(L447&lt;=24,(L447-17)*0.425,0))),0)+IF(F447="JPČ",IF(L447=1,68,IF(L447=2,47.6,IF(L447=3,36,IF(L447=4,26,IF(L447=5,24,IF(L447=6,22,IF(L447=7,20,IF(L447=8,18,0))))))))+IF(L447&lt;=8,0,IF(L447&lt;=16,13,IF(L447&lt;=24,9,0)))-IF(L447&lt;=8,0,IF(L447&lt;=16,(L447-9)*0.34,IF(L447&lt;=24,(L447-17)*0.34,0))),0)+IF(F447="JEČ",IF(L447=1,34,IF(L447=2,26.04,IF(L447=3,20.6,IF(L447=4,12,IF(L447=5,11,IF(L447=6,10,IF(L447=7,9,IF(L447=8,8,0))))))))+IF(L447&lt;=8,0,IF(L447&lt;=16,6,0))-IF(L447&lt;=8,0,IF(L447&lt;=16,(L447-9)*0.17,0)),0)+IF(F447="JEOF",IF(L447=1,34,IF(L447=2,26.04,IF(L447=3,20.6,IF(L447=4,12,IF(L447=5,11,IF(L447=6,10,IF(L447=7,9,IF(L447=8,8,0))))))))+IF(L447&lt;=8,0,IF(L447&lt;=16,6,0))-IF(L447&lt;=8,0,IF(L447&lt;=16,(L447-9)*0.17,0)),0)+IF(F447="JnPČ",IF(L447=1,51,IF(L447=2,35.7,IF(L447=3,27,IF(L447=4,19.5,IF(L447=5,18,IF(L447=6,16.5,IF(L447=7,15,IF(L447=8,13.5,0))))))))+IF(L447&lt;=8,0,IF(L447&lt;=16,10,0))-IF(L447&lt;=8,0,IF(L447&lt;=16,(L447-9)*0.255,0)),0)+IF(F447="JnEČ",IF(L447=1,25.5,IF(L447=2,19.53,IF(L447=3,15.48,IF(L447=4,9,IF(L447=5,8.25,IF(L447=6,7.5,IF(L447=7,6.75,IF(L447=8,6,0))))))))+IF(L447&lt;=8,0,IF(L447&lt;=16,5,0))-IF(L447&lt;=8,0,IF(L447&lt;=16,(L447-9)*0.1275,0)),0)+IF(F447="JčPČ",IF(L447=1,21.25,IF(L447=2,14.5,IF(L447=3,11.5,IF(L447=4,7,IF(L447=5,6.5,IF(L447=6,6,IF(L447=7,5.5,IF(L447=8,5,0))))))))+IF(L447&lt;=8,0,IF(L447&lt;=16,4,0))-IF(L447&lt;=8,0,IF(L447&lt;=16,(L447-9)*0.10625,0)),0)+IF(F447="JčEČ",IF(L447=1,17,IF(L447=2,13.02,IF(L447=3,10.32,IF(L447=4,6,IF(L447=5,5.5,IF(L447=6,5,IF(L447=7,4.5,IF(L447=8,4,0))))))))+IF(L447&lt;=8,0,IF(L447&lt;=16,3,0))-IF(L447&lt;=8,0,IF(L447&lt;=16,(L447-9)*0.085,0)),0)+IF(F447="NEAK",IF(L447=1,11.48,IF(L447=2,8.79,IF(L447=3,6.97,IF(L447=4,4.05,IF(L447=5,3.71,IF(L447=6,3.38,IF(L447=7,3.04,IF(L447=8,2.7,0))))))))+IF(L447&lt;=8,0,IF(L447&lt;=16,2,IF(L447&lt;=24,1.3,0)))-IF(L447&lt;=8,0,IF(L447&lt;=16,(L447-9)*0.0574,IF(L447&lt;=24,(L447-17)*0.0574,0))),0))*IF(L447&lt;0,1,IF(OR(F447="PČ",F447="PŽ",F447="PT"),IF(J447&lt;32,J447/32,1),1))* IF(L447&lt;0,1,IF(OR(F447="EČ",F447="EŽ",F447="JOŽ",F447="JPČ",F447="NEAK"),IF(J447&lt;24,J447/24,1),1))*IF(L447&lt;0,1,IF(OR(F447="PČneol",F447="JEČ",F447="JEOF",F447="JnPČ",F447="JnEČ",F447="JčPČ",F447="JčEČ"),IF(J447&lt;16,J447/16,1),1))*IF(L447&lt;0,1,IF(F447="EČneol",IF(J447&lt;8,J447/8,1),1))</f>
        <v>0</v>
      </c>
      <c r="O447" s="9">
        <f t="shared" ref="O447:O451" si="189">IF(F447="OŽ",N447,IF(H447="Ne",IF(J447*0.3&lt;J447-L447,N447,0),IF(J447*0.1&lt;J447-L447,N447,0)))</f>
        <v>0</v>
      </c>
      <c r="P447" s="4">
        <f t="shared" ref="P447:P451" si="190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1" si="191">IF(ISERROR(P447*100/N447),0,(P447*100/N447))</f>
        <v>0</v>
      </c>
      <c r="R447" s="10">
        <f t="shared" ref="R447:R451" si="192">IF(Q447&lt;=30,O447+P447,O447+O447*0.3)*IF(G447=1,0.4,IF(G447=2,0.75,IF(G447="1 (kas 4 m. 1 k. nerengiamos)",0.52,1)))*IF(D447="olimpinė",1,IF(M447="Ne",0.5,1))*IF(OR(A$5="Lietuvos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federacija"),IF(OR(J447&lt;8,K447&lt;16),0,1),1)*E447*IF(I447&lt;=1,1,1/I447)*IF(OR(A$5="Lietuvos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8" spans="1:18" s="8" customFormat="1">
      <c r="A448" s="73">
        <v>2</v>
      </c>
      <c r="B448" s="73" t="s">
        <v>130</v>
      </c>
      <c r="C448" s="12" t="s">
        <v>129</v>
      </c>
      <c r="D448" s="73" t="s">
        <v>45</v>
      </c>
      <c r="E448" s="73">
        <v>1</v>
      </c>
      <c r="F448" s="73" t="s">
        <v>70</v>
      </c>
      <c r="G448" s="73">
        <v>1</v>
      </c>
      <c r="H448" s="73" t="s">
        <v>59</v>
      </c>
      <c r="I448" s="73"/>
      <c r="J448" s="73">
        <v>156</v>
      </c>
      <c r="K448" s="73">
        <v>34</v>
      </c>
      <c r="L448" s="73">
        <v>120</v>
      </c>
      <c r="M448" s="73"/>
      <c r="N448" s="3">
        <f t="shared" si="188"/>
        <v>0</v>
      </c>
      <c r="O448" s="9">
        <f t="shared" si="189"/>
        <v>0</v>
      </c>
      <c r="P448" s="4">
        <f t="shared" si="190"/>
        <v>0</v>
      </c>
      <c r="Q448" s="11">
        <f t="shared" si="191"/>
        <v>0</v>
      </c>
      <c r="R448" s="10">
        <f t="shared" si="192"/>
        <v>0</v>
      </c>
    </row>
    <row r="449" spans="1:18" s="8" customFormat="1">
      <c r="A449" s="73">
        <v>3</v>
      </c>
      <c r="B449" s="73" t="s">
        <v>131</v>
      </c>
      <c r="C449" s="12" t="s">
        <v>129</v>
      </c>
      <c r="D449" s="73" t="s">
        <v>45</v>
      </c>
      <c r="E449" s="73">
        <v>1</v>
      </c>
      <c r="F449" s="73" t="s">
        <v>70</v>
      </c>
      <c r="G449" s="73">
        <v>1</v>
      </c>
      <c r="H449" s="73" t="s">
        <v>59</v>
      </c>
      <c r="I449" s="73"/>
      <c r="J449" s="73">
        <v>156</v>
      </c>
      <c r="K449" s="73">
        <v>34</v>
      </c>
      <c r="L449" s="73">
        <v>145</v>
      </c>
      <c r="M449" s="73"/>
      <c r="N449" s="3">
        <f t="shared" si="188"/>
        <v>0</v>
      </c>
      <c r="O449" s="9">
        <f t="shared" si="189"/>
        <v>0</v>
      </c>
      <c r="P449" s="4">
        <f t="shared" si="190"/>
        <v>0</v>
      </c>
      <c r="Q449" s="11">
        <f t="shared" si="191"/>
        <v>0</v>
      </c>
      <c r="R449" s="10">
        <f t="shared" si="192"/>
        <v>0</v>
      </c>
    </row>
    <row r="450" spans="1:18" s="8" customFormat="1">
      <c r="A450" s="73">
        <v>4</v>
      </c>
      <c r="B450" s="73" t="s">
        <v>132</v>
      </c>
      <c r="C450" s="12" t="s">
        <v>129</v>
      </c>
      <c r="D450" s="73" t="s">
        <v>45</v>
      </c>
      <c r="E450" s="73">
        <v>1</v>
      </c>
      <c r="F450" s="73" t="s">
        <v>70</v>
      </c>
      <c r="G450" s="73">
        <v>1</v>
      </c>
      <c r="H450" s="73" t="s">
        <v>59</v>
      </c>
      <c r="I450" s="73"/>
      <c r="J450" s="73">
        <v>156</v>
      </c>
      <c r="K450" s="73">
        <v>34</v>
      </c>
      <c r="L450" s="73">
        <v>148</v>
      </c>
      <c r="M450" s="73"/>
      <c r="N450" s="3">
        <f t="shared" si="188"/>
        <v>0</v>
      </c>
      <c r="O450" s="9">
        <f t="shared" si="189"/>
        <v>0</v>
      </c>
      <c r="P450" s="4">
        <f t="shared" si="190"/>
        <v>0</v>
      </c>
      <c r="Q450" s="11">
        <f t="shared" si="191"/>
        <v>0</v>
      </c>
      <c r="R450" s="10">
        <f t="shared" si="192"/>
        <v>0</v>
      </c>
    </row>
    <row r="451" spans="1:18" s="8" customFormat="1">
      <c r="A451" s="73">
        <v>5</v>
      </c>
      <c r="B451" s="73" t="s">
        <v>133</v>
      </c>
      <c r="C451" s="12" t="s">
        <v>129</v>
      </c>
      <c r="D451" s="73" t="s">
        <v>45</v>
      </c>
      <c r="E451" s="73">
        <v>1</v>
      </c>
      <c r="F451" s="73" t="s">
        <v>70</v>
      </c>
      <c r="G451" s="73">
        <v>1</v>
      </c>
      <c r="H451" s="73" t="s">
        <v>59</v>
      </c>
      <c r="I451" s="73"/>
      <c r="J451" s="73">
        <v>113</v>
      </c>
      <c r="K451" s="73">
        <v>34</v>
      </c>
      <c r="L451" s="73">
        <v>75</v>
      </c>
      <c r="M451" s="73"/>
      <c r="N451" s="3">
        <f t="shared" si="188"/>
        <v>0</v>
      </c>
      <c r="O451" s="9">
        <f t="shared" si="189"/>
        <v>0</v>
      </c>
      <c r="P451" s="4">
        <f t="shared" si="190"/>
        <v>0</v>
      </c>
      <c r="Q451" s="11">
        <f t="shared" si="191"/>
        <v>0</v>
      </c>
      <c r="R451" s="10">
        <f t="shared" si="192"/>
        <v>0</v>
      </c>
    </row>
    <row r="452" spans="1:18">
      <c r="A452" s="73">
        <v>7</v>
      </c>
      <c r="B452" s="73"/>
      <c r="C452" s="12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3">
        <f t="shared" ref="N452:N455" si="193">(IF(F452="OŽ",IF(L452=1,550.8,IF(L452=2,426.38,IF(L452=3,342.14,IF(L452=4,181.44,IF(L452=5,168.48,IF(L452=6,155.52,IF(L452=7,148.5,IF(L452=8,144,0))))))))+IF(L452&lt;=8,0,IF(L452&lt;=16,137.7,IF(L452&lt;=24,108,IF(L452&lt;=32,80.1,IF(L452&lt;=36,52.2,0)))))-IF(L452&lt;=8,0,IF(L452&lt;=16,(L452-9)*2.754,IF(L452&lt;=24,(L452-17)* 2.754,IF(L452&lt;=32,(L452-25)* 2.754,IF(L452&lt;=36,(L452-33)*2.754,0))))),0)+IF(F452="PČ",IF(L452=1,449,IF(L452=2,314.6,IF(L452=3,238,IF(L452=4,172,IF(L452=5,159,IF(L452=6,145,IF(L452=7,132,IF(L452=8,119,0))))))))+IF(L452&lt;=8,0,IF(L452&lt;=16,88,IF(L452&lt;=24,55,IF(L452&lt;=32,22,0))))-IF(L452&lt;=8,0,IF(L452&lt;=16,(L452-9)*2.245,IF(L452&lt;=24,(L452-17)*2.245,IF(L452&lt;=32,(L452-25)*2.245,0)))),0)+IF(F452="PČneol",IF(L452=1,85,IF(L452=2,64.61,IF(L452=3,50.76,IF(L452=4,16.25,IF(L452=5,15,IF(L452=6,13.75,IF(L452=7,12.5,IF(L452=8,11.25,0))))))))+IF(L452&lt;=8,0,IF(L452&lt;=16,9,0))-IF(L452&lt;=8,0,IF(L452&lt;=16,(L452-9)*0.425,0)),0)+IF(F452="PŽ",IF(L452=1,85,IF(L452=2,59.5,IF(L452=3,45,IF(L452=4,32.5,IF(L452=5,30,IF(L452=6,27.5,IF(L452=7,25,IF(L452=8,22.5,0))))))))+IF(L452&lt;=8,0,IF(L452&lt;=16,19,IF(L452&lt;=24,13,IF(L452&lt;=32,8,0))))-IF(L452&lt;=8,0,IF(L452&lt;=16,(L452-9)*0.425,IF(L452&lt;=24,(L452-17)*0.425,IF(L452&lt;=32,(L452-25)*0.425,0)))),0)+IF(F452="EČ",IF(L452=1,204,IF(L452=2,156.24,IF(L452=3,123.84,IF(L452=4,72,IF(L452=5,66,IF(L452=6,60,IF(L452=7,54,IF(L452=8,48,0))))))))+IF(L452&lt;=8,0,IF(L452&lt;=16,40,IF(L452&lt;=24,25,0)))-IF(L452&lt;=8,0,IF(L452&lt;=16,(L452-9)*1.02,IF(L452&lt;=24,(L452-17)*1.02,0))),0)+IF(F452="EČneol",IF(L452=1,68,IF(L452=2,51.69,IF(L452=3,40.61,IF(L452=4,13,IF(L452=5,12,IF(L452=6,11,IF(L452=7,10,IF(L452=8,9,0)))))))))+IF(F452="EŽ",IF(L452=1,68,IF(L452=2,47.6,IF(L452=3,36,IF(L452=4,18,IF(L452=5,16.5,IF(L452=6,15,IF(L452=7,13.5,IF(L452=8,12,0))))))))+IF(L452&lt;=8,0,IF(L452&lt;=16,10,IF(L452&lt;=24,6,0)))-IF(L452&lt;=8,0,IF(L452&lt;=16,(L452-9)*0.34,IF(L452&lt;=24,(L452-17)*0.34,0))),0)+IF(F452="PT",IF(L452=1,68,IF(L452=2,52.08,IF(L452=3,41.28,IF(L452=4,24,IF(L452=5,22,IF(L452=6,20,IF(L452=7,18,IF(L452=8,16,0))))))))+IF(L452&lt;=8,0,IF(L452&lt;=16,13,IF(L452&lt;=24,9,IF(L452&lt;=32,4,0))))-IF(L452&lt;=8,0,IF(L452&lt;=16,(L452-9)*0.34,IF(L452&lt;=24,(L452-17)*0.34,IF(L452&lt;=32,(L452-25)*0.34,0)))),0)+IF(F452="JOŽ",IF(L452=1,85,IF(L452=2,59.5,IF(L452=3,45,IF(L452=4,32.5,IF(L452=5,30,IF(L452=6,27.5,IF(L452=7,25,IF(L452=8,22.5,0))))))))+IF(L452&lt;=8,0,IF(L452&lt;=16,19,IF(L452&lt;=24,13,0)))-IF(L452&lt;=8,0,IF(L452&lt;=16,(L452-9)*0.425,IF(L452&lt;=24,(L452-17)*0.425,0))),0)+IF(F452="JPČ",IF(L452=1,68,IF(L452=2,47.6,IF(L452=3,36,IF(L452=4,26,IF(L452=5,24,IF(L452=6,22,IF(L452=7,20,IF(L452=8,18,0))))))))+IF(L452&lt;=8,0,IF(L452&lt;=16,13,IF(L452&lt;=24,9,0)))-IF(L452&lt;=8,0,IF(L452&lt;=16,(L452-9)*0.34,IF(L452&lt;=24,(L452-17)*0.34,0))),0)+IF(F452="JEČ",IF(L452=1,34,IF(L452=2,26.04,IF(L452=3,20.6,IF(L452=4,12,IF(L452=5,11,IF(L452=6,10,IF(L452=7,9,IF(L452=8,8,0))))))))+IF(L452&lt;=8,0,IF(L452&lt;=16,6,0))-IF(L452&lt;=8,0,IF(L452&lt;=16,(L452-9)*0.17,0)),0)+IF(F452="JEOF",IF(L452=1,34,IF(L452=2,26.04,IF(L452=3,20.6,IF(L452=4,12,IF(L452=5,11,IF(L452=6,10,IF(L452=7,9,IF(L452=8,8,0))))))))+IF(L452&lt;=8,0,IF(L452&lt;=16,6,0))-IF(L452&lt;=8,0,IF(L452&lt;=16,(L452-9)*0.17,0)),0)+IF(F452="JnPČ",IF(L452=1,51,IF(L452=2,35.7,IF(L452=3,27,IF(L452=4,19.5,IF(L452=5,18,IF(L452=6,16.5,IF(L452=7,15,IF(L452=8,13.5,0))))))))+IF(L452&lt;=8,0,IF(L452&lt;=16,10,0))-IF(L452&lt;=8,0,IF(L452&lt;=16,(L452-9)*0.255,0)),0)+IF(F452="JnEČ",IF(L452=1,25.5,IF(L452=2,19.53,IF(L452=3,15.48,IF(L452=4,9,IF(L452=5,8.25,IF(L452=6,7.5,IF(L452=7,6.75,IF(L452=8,6,0))))))))+IF(L452&lt;=8,0,IF(L452&lt;=16,5,0))-IF(L452&lt;=8,0,IF(L452&lt;=16,(L452-9)*0.1275,0)),0)+IF(F452="JčPČ",IF(L452=1,21.25,IF(L452=2,14.5,IF(L452=3,11.5,IF(L452=4,7,IF(L452=5,6.5,IF(L452=6,6,IF(L452=7,5.5,IF(L452=8,5,0))))))))+IF(L452&lt;=8,0,IF(L452&lt;=16,4,0))-IF(L452&lt;=8,0,IF(L452&lt;=16,(L452-9)*0.10625,0)),0)+IF(F452="JčEČ",IF(L452=1,17,IF(L452=2,13.02,IF(L452=3,10.32,IF(L452=4,6,IF(L452=5,5.5,IF(L452=6,5,IF(L452=7,4.5,IF(L452=8,4,0))))))))+IF(L452&lt;=8,0,IF(L452&lt;=16,3,0))-IF(L452&lt;=8,0,IF(L452&lt;=16,(L452-9)*0.085,0)),0)+IF(F452="NEAK",IF(L452=1,11.48,IF(L452=2,8.79,IF(L452=3,6.97,IF(L452=4,4.05,IF(L452=5,3.71,IF(L452=6,3.38,IF(L452=7,3.04,IF(L452=8,2.7,0))))))))+IF(L452&lt;=8,0,IF(L452&lt;=16,2,IF(L452&lt;=24,1.3,0)))-IF(L452&lt;=8,0,IF(L452&lt;=16,(L452-9)*0.0574,IF(L452&lt;=24,(L452-17)*0.0574,0))),0))*IF(L452&lt;0,1,IF(OR(F452="PČ",F452="PŽ",F452="PT"),IF(J452&lt;32,J452/32,1),1))* IF(L452&lt;0,1,IF(OR(F452="EČ",F452="EŽ",F452="JOŽ",F452="JPČ",F452="NEAK"),IF(J452&lt;24,J452/24,1),1))*IF(L452&lt;0,1,IF(OR(F452="PČneol",F452="JEČ",F452="JEOF",F452="JnPČ",F452="JnEČ",F452="JčPČ",F452="JčEČ"),IF(J452&lt;16,J452/16,1),1))*IF(L452&lt;0,1,IF(F452="EČneol",IF(J452&lt;8,J452/8,1),1))</f>
        <v>0</v>
      </c>
      <c r="O452" s="9">
        <f t="shared" ref="O452:O455" si="194">IF(F452="OŽ",N452,IF(H452="Ne",IF(J452*0.3&lt;J452-L452,N452,0),IF(J452*0.1&lt;J452-L452,N452,0)))</f>
        <v>0</v>
      </c>
      <c r="P452" s="4">
        <f t="shared" ref="P452:P455" si="195">IF(O452=0,0,IF(F452="OŽ",IF(L452&gt;35,0,IF(J452&gt;35,(36-L452)*1.836,((36-L452)-(36-J452))*1.836)),0)+IF(F452="PČ",IF(L452&gt;31,0,IF(J452&gt;31,(32-L452)*1.347,((32-L452)-(32-J452))*1.347)),0)+ IF(F452="PČneol",IF(L452&gt;15,0,IF(J452&gt;15,(16-L452)*0.255,((16-L452)-(16-J452))*0.255)),0)+IF(F452="PŽ",IF(L452&gt;31,0,IF(J452&gt;31,(32-L452)*0.255,((32-L452)-(32-J452))*0.255)),0)+IF(F452="EČ",IF(L452&gt;23,0,IF(J452&gt;23,(24-L452)*0.612,((24-L452)-(24-J452))*0.612)),0)+IF(F452="EČneol",IF(L452&gt;7,0,IF(J452&gt;7,(8-L452)*0.204,((8-L452)-(8-J452))*0.204)),0)+IF(F452="EŽ",IF(L452&gt;23,0,IF(J452&gt;23,(24-L452)*0.204,((24-L452)-(24-J452))*0.204)),0)+IF(F452="PT",IF(L452&gt;31,0,IF(J452&gt;31,(32-L452)*0.204,((32-L452)-(32-J452))*0.204)),0)+IF(F452="JOŽ",IF(L452&gt;23,0,IF(J452&gt;23,(24-L452)*0.255,((24-L452)-(24-J452))*0.255)),0)+IF(F452="JPČ",IF(L452&gt;23,0,IF(J452&gt;23,(24-L452)*0.204,((24-L452)-(24-J452))*0.204)),0)+IF(F452="JEČ",IF(L452&gt;15,0,IF(J452&gt;15,(16-L452)*0.102,((16-L452)-(16-J452))*0.102)),0)+IF(F452="JEOF",IF(L452&gt;15,0,IF(J452&gt;15,(16-L452)*0.102,((16-L452)-(16-J452))*0.102)),0)+IF(F452="JnPČ",IF(L452&gt;15,0,IF(J452&gt;15,(16-L452)*0.153,((16-L452)-(16-J452))*0.153)),0)+IF(F452="JnEČ",IF(L452&gt;15,0,IF(J452&gt;15,(16-L452)*0.0765,((16-L452)-(16-J452))*0.0765)),0)+IF(F452="JčPČ",IF(L452&gt;15,0,IF(J452&gt;15,(16-L452)*0.06375,((16-L452)-(16-J452))*0.06375)),0)+IF(F452="JčEČ",IF(L452&gt;15,0,IF(J452&gt;15,(16-L452)*0.051,((16-L452)-(16-J452))*0.051)),0)+IF(F452="NEAK",IF(L452&gt;23,0,IF(J452&gt;23,(24-L452)*0.03444,((24-L452)-(24-J452))*0.03444)),0))</f>
        <v>0</v>
      </c>
      <c r="Q452" s="11">
        <f t="shared" ref="Q452:Q455" si="196">IF(ISERROR(P452*100/N452),0,(P452*100/N452))</f>
        <v>0</v>
      </c>
      <c r="R452" s="10">
        <f t="shared" ref="R452:R455" si="197">IF(Q452&lt;=30,O452+P452,O452+O452*0.3)*IF(G452=1,0.4,IF(G452=2,0.75,IF(G452="1 (kas 4 m. 1 k. nerengiamos)",0.52,1)))*IF(D452="olimpinė",1,IF(M452="Ne",0.5,1))*IF(OR(A$5="Lietuvos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federacija"),IF(OR(J452&lt;8,K452&lt;16),0,1),1)*E452*IF(I452&lt;=1,1,1/I452)*IF(OR(A$5="Lietuvos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53" spans="1:18">
      <c r="A453" s="73">
        <v>8</v>
      </c>
      <c r="B453" s="73"/>
      <c r="C453" s="12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3">
        <f t="shared" si="193"/>
        <v>0</v>
      </c>
      <c r="O453" s="9">
        <f t="shared" si="194"/>
        <v>0</v>
      </c>
      <c r="P453" s="4">
        <f t="shared" si="195"/>
        <v>0</v>
      </c>
      <c r="Q453" s="11">
        <f t="shared" si="196"/>
        <v>0</v>
      </c>
      <c r="R453" s="10">
        <f t="shared" si="197"/>
        <v>0</v>
      </c>
    </row>
    <row r="454" spans="1:18">
      <c r="A454" s="73">
        <v>9</v>
      </c>
      <c r="B454" s="73"/>
      <c r="C454" s="12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3">
        <f t="shared" si="193"/>
        <v>0</v>
      </c>
      <c r="O454" s="9">
        <f t="shared" si="194"/>
        <v>0</v>
      </c>
      <c r="P454" s="4">
        <f t="shared" si="195"/>
        <v>0</v>
      </c>
      <c r="Q454" s="11">
        <f t="shared" si="196"/>
        <v>0</v>
      </c>
      <c r="R454" s="10">
        <f t="shared" si="197"/>
        <v>0</v>
      </c>
    </row>
    <row r="455" spans="1:18">
      <c r="A455" s="73">
        <v>10</v>
      </c>
      <c r="B455" s="73"/>
      <c r="C455" s="12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3">
        <f t="shared" si="193"/>
        <v>0</v>
      </c>
      <c r="O455" s="9">
        <f t="shared" si="194"/>
        <v>0</v>
      </c>
      <c r="P455" s="4">
        <f t="shared" si="195"/>
        <v>0</v>
      </c>
      <c r="Q455" s="11">
        <f t="shared" si="196"/>
        <v>0</v>
      </c>
      <c r="R455" s="10">
        <f t="shared" si="197"/>
        <v>0</v>
      </c>
    </row>
    <row r="456" spans="1:18">
      <c r="A456" s="82" t="s">
        <v>36</v>
      </c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4"/>
      <c r="R456" s="10">
        <f>SUM(R446:R455)</f>
        <v>0</v>
      </c>
    </row>
    <row r="457" spans="1:18" ht="15.75">
      <c r="A457" s="24" t="s">
        <v>37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49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 hidden="1">
      <c r="A460" s="80" t="s">
        <v>134</v>
      </c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69"/>
      <c r="R460" s="8"/>
    </row>
    <row r="461" spans="1:18" ht="18" hidden="1">
      <c r="A461" s="78" t="s">
        <v>27</v>
      </c>
      <c r="B461" s="79"/>
      <c r="C461" s="7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69"/>
      <c r="R461" s="8"/>
    </row>
    <row r="462" spans="1:18" hidden="1">
      <c r="A462" s="80" t="s">
        <v>68</v>
      </c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69"/>
      <c r="R462" s="8"/>
    </row>
    <row r="463" spans="1:18" hidden="1">
      <c r="A463" s="73">
        <v>1</v>
      </c>
      <c r="B463" s="73"/>
      <c r="C463" s="12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3">
        <f t="shared" ref="N463:N472" si="19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99">IF(F463="OŽ",N463,IF(H463="Ne",IF(J463*0.3&lt;J463-L463,N463,0),IF(J463*0.1&lt;J463-L463,N463,0)))</f>
        <v>0</v>
      </c>
      <c r="P463" s="4">
        <f t="shared" ref="P463" si="20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201">IF(ISERROR(P463*100/N463),0,(P463*100/N463))</f>
        <v>0</v>
      </c>
      <c r="R463" s="10">
        <f t="shared" ref="R463:R472" si="20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 hidden="1">
      <c r="A464" s="73">
        <v>2</v>
      </c>
      <c r="B464" s="73"/>
      <c r="C464" s="12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3">
        <f t="shared" si="198"/>
        <v>0</v>
      </c>
      <c r="O464" s="9">
        <f t="shared" si="199"/>
        <v>0</v>
      </c>
      <c r="P464" s="4">
        <f t="shared" ref="P464:P472" si="20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204">IF(ISERROR(P464*100/N464),0,(P464*100/N464))</f>
        <v>0</v>
      </c>
      <c r="R464" s="10">
        <f t="shared" si="202"/>
        <v>0</v>
      </c>
    </row>
    <row r="465" spans="1:18" hidden="1">
      <c r="A465" s="73">
        <v>3</v>
      </c>
      <c r="B465" s="73"/>
      <c r="C465" s="12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3">
        <f t="shared" si="198"/>
        <v>0</v>
      </c>
      <c r="O465" s="9">
        <f t="shared" si="199"/>
        <v>0</v>
      </c>
      <c r="P465" s="4">
        <f t="shared" si="203"/>
        <v>0</v>
      </c>
      <c r="Q465" s="11">
        <f t="shared" si="204"/>
        <v>0</v>
      </c>
      <c r="R465" s="10">
        <f t="shared" si="202"/>
        <v>0</v>
      </c>
    </row>
    <row r="466" spans="1:18" hidden="1">
      <c r="A466" s="73">
        <v>4</v>
      </c>
      <c r="B466" s="73"/>
      <c r="C466" s="1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3">
        <f t="shared" si="198"/>
        <v>0</v>
      </c>
      <c r="O466" s="9">
        <f t="shared" si="199"/>
        <v>0</v>
      </c>
      <c r="P466" s="4">
        <f t="shared" si="203"/>
        <v>0</v>
      </c>
      <c r="Q466" s="11">
        <f t="shared" si="204"/>
        <v>0</v>
      </c>
      <c r="R466" s="10">
        <f t="shared" si="202"/>
        <v>0</v>
      </c>
    </row>
    <row r="467" spans="1:18" hidden="1">
      <c r="A467" s="73">
        <v>5</v>
      </c>
      <c r="B467" s="73"/>
      <c r="C467" s="12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3">
        <f t="shared" si="198"/>
        <v>0</v>
      </c>
      <c r="O467" s="9">
        <f t="shared" si="199"/>
        <v>0</v>
      </c>
      <c r="P467" s="4">
        <f t="shared" si="203"/>
        <v>0</v>
      </c>
      <c r="Q467" s="11">
        <f t="shared" si="204"/>
        <v>0</v>
      </c>
      <c r="R467" s="10">
        <f t="shared" si="202"/>
        <v>0</v>
      </c>
    </row>
    <row r="468" spans="1:18" hidden="1">
      <c r="A468" s="73">
        <v>6</v>
      </c>
      <c r="B468" s="73"/>
      <c r="C468" s="12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3">
        <f t="shared" si="198"/>
        <v>0</v>
      </c>
      <c r="O468" s="9">
        <f t="shared" si="199"/>
        <v>0</v>
      </c>
      <c r="P468" s="4">
        <f t="shared" si="203"/>
        <v>0</v>
      </c>
      <c r="Q468" s="11">
        <f t="shared" si="204"/>
        <v>0</v>
      </c>
      <c r="R468" s="10">
        <f t="shared" si="202"/>
        <v>0</v>
      </c>
    </row>
    <row r="469" spans="1:18" hidden="1">
      <c r="A469" s="73">
        <v>7</v>
      </c>
      <c r="B469" s="73"/>
      <c r="C469" s="12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3">
        <f t="shared" si="198"/>
        <v>0</v>
      </c>
      <c r="O469" s="9">
        <f t="shared" si="199"/>
        <v>0</v>
      </c>
      <c r="P469" s="4">
        <f t="shared" si="203"/>
        <v>0</v>
      </c>
      <c r="Q469" s="11">
        <f t="shared" si="204"/>
        <v>0</v>
      </c>
      <c r="R469" s="10">
        <f t="shared" si="202"/>
        <v>0</v>
      </c>
    </row>
    <row r="470" spans="1:18" hidden="1">
      <c r="A470" s="73">
        <v>8</v>
      </c>
      <c r="B470" s="73"/>
      <c r="C470" s="12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3">
        <f t="shared" si="198"/>
        <v>0</v>
      </c>
      <c r="O470" s="9">
        <f t="shared" si="199"/>
        <v>0</v>
      </c>
      <c r="P470" s="4">
        <f t="shared" si="203"/>
        <v>0</v>
      </c>
      <c r="Q470" s="11">
        <f t="shared" si="204"/>
        <v>0</v>
      </c>
      <c r="R470" s="10">
        <f t="shared" si="202"/>
        <v>0</v>
      </c>
    </row>
    <row r="471" spans="1:18" hidden="1">
      <c r="A471" s="73">
        <v>9</v>
      </c>
      <c r="B471" s="73"/>
      <c r="C471" s="12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3">
        <f t="shared" si="198"/>
        <v>0</v>
      </c>
      <c r="O471" s="9">
        <f t="shared" si="199"/>
        <v>0</v>
      </c>
      <c r="P471" s="4">
        <f t="shared" si="203"/>
        <v>0</v>
      </c>
      <c r="Q471" s="11">
        <f t="shared" si="204"/>
        <v>0</v>
      </c>
      <c r="R471" s="10">
        <f t="shared" si="202"/>
        <v>0</v>
      </c>
    </row>
    <row r="472" spans="1:18" hidden="1">
      <c r="A472" s="73">
        <v>10</v>
      </c>
      <c r="B472" s="73"/>
      <c r="C472" s="12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3">
        <f t="shared" si="198"/>
        <v>0</v>
      </c>
      <c r="O472" s="9">
        <f t="shared" si="199"/>
        <v>0</v>
      </c>
      <c r="P472" s="4">
        <f t="shared" si="203"/>
        <v>0</v>
      </c>
      <c r="Q472" s="11">
        <f t="shared" si="204"/>
        <v>0</v>
      </c>
      <c r="R472" s="10">
        <f t="shared" si="202"/>
        <v>0</v>
      </c>
    </row>
    <row r="473" spans="1:18" hidden="1">
      <c r="A473" s="82" t="s">
        <v>36</v>
      </c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4"/>
      <c r="R473" s="10">
        <f>SUM(R463:R472)</f>
        <v>0</v>
      </c>
    </row>
    <row r="474" spans="1:18" ht="15.75" hidden="1">
      <c r="A474" s="24" t="s">
        <v>37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 hidden="1">
      <c r="A475" s="49" t="s">
        <v>49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 hidden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 hidden="1">
      <c r="A477" s="80" t="s">
        <v>134</v>
      </c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69"/>
      <c r="R477" s="8"/>
    </row>
    <row r="478" spans="1:18" ht="18" hidden="1">
      <c r="A478" s="78" t="s">
        <v>27</v>
      </c>
      <c r="B478" s="79"/>
      <c r="C478" s="7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69"/>
      <c r="R478" s="8"/>
    </row>
    <row r="479" spans="1:18" hidden="1">
      <c r="A479" s="80" t="s">
        <v>68</v>
      </c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69"/>
      <c r="R479" s="8"/>
    </row>
    <row r="480" spans="1:18" hidden="1">
      <c r="A480" s="73">
        <v>1</v>
      </c>
      <c r="B480" s="73"/>
      <c r="C480" s="12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3">
        <f t="shared" ref="N480:N489" si="20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206">IF(F480="OŽ",N480,IF(H480="Ne",IF(J480*0.3&lt;J480-L480,N480,0),IF(J480*0.1&lt;J480-L480,N480,0)))</f>
        <v>0</v>
      </c>
      <c r="P480" s="4">
        <f t="shared" ref="P480" si="20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208">IF(ISERROR(P480*100/N480),0,(P480*100/N480))</f>
        <v>0</v>
      </c>
      <c r="R480" s="10">
        <f t="shared" ref="R480:R489" si="20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 hidden="1">
      <c r="A481" s="73">
        <v>2</v>
      </c>
      <c r="B481" s="73"/>
      <c r="C481" s="12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3">
        <f t="shared" si="205"/>
        <v>0</v>
      </c>
      <c r="O481" s="9">
        <f t="shared" si="206"/>
        <v>0</v>
      </c>
      <c r="P481" s="4">
        <f t="shared" ref="P481:P489" si="21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211">IF(ISERROR(P481*100/N481),0,(P481*100/N481))</f>
        <v>0</v>
      </c>
      <c r="R481" s="10">
        <f t="shared" si="209"/>
        <v>0</v>
      </c>
    </row>
    <row r="482" spans="1:18" hidden="1">
      <c r="A482" s="73">
        <v>3</v>
      </c>
      <c r="B482" s="73"/>
      <c r="C482" s="12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3">
        <f t="shared" si="205"/>
        <v>0</v>
      </c>
      <c r="O482" s="9">
        <f t="shared" si="206"/>
        <v>0</v>
      </c>
      <c r="P482" s="4">
        <f t="shared" si="210"/>
        <v>0</v>
      </c>
      <c r="Q482" s="11">
        <f t="shared" si="211"/>
        <v>0</v>
      </c>
      <c r="R482" s="10">
        <f t="shared" si="209"/>
        <v>0</v>
      </c>
    </row>
    <row r="483" spans="1:18" hidden="1">
      <c r="A483" s="73">
        <v>4</v>
      </c>
      <c r="B483" s="73"/>
      <c r="C483" s="12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3">
        <f t="shared" si="205"/>
        <v>0</v>
      </c>
      <c r="O483" s="9">
        <f t="shared" si="206"/>
        <v>0</v>
      </c>
      <c r="P483" s="4">
        <f t="shared" si="210"/>
        <v>0</v>
      </c>
      <c r="Q483" s="11">
        <f t="shared" si="211"/>
        <v>0</v>
      </c>
      <c r="R483" s="10">
        <f t="shared" si="209"/>
        <v>0</v>
      </c>
    </row>
    <row r="484" spans="1:18" hidden="1">
      <c r="A484" s="73">
        <v>5</v>
      </c>
      <c r="B484" s="73"/>
      <c r="C484" s="12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3">
        <f t="shared" si="205"/>
        <v>0</v>
      </c>
      <c r="O484" s="9">
        <f t="shared" si="206"/>
        <v>0</v>
      </c>
      <c r="P484" s="4">
        <f t="shared" si="210"/>
        <v>0</v>
      </c>
      <c r="Q484" s="11">
        <f t="shared" si="211"/>
        <v>0</v>
      </c>
      <c r="R484" s="10">
        <f t="shared" si="209"/>
        <v>0</v>
      </c>
    </row>
    <row r="485" spans="1:18" hidden="1">
      <c r="A485" s="73">
        <v>6</v>
      </c>
      <c r="B485" s="73"/>
      <c r="C485" s="12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3">
        <f t="shared" si="205"/>
        <v>0</v>
      </c>
      <c r="O485" s="9">
        <f t="shared" si="206"/>
        <v>0</v>
      </c>
      <c r="P485" s="4">
        <f t="shared" si="210"/>
        <v>0</v>
      </c>
      <c r="Q485" s="11">
        <f t="shared" si="211"/>
        <v>0</v>
      </c>
      <c r="R485" s="10">
        <f t="shared" si="209"/>
        <v>0</v>
      </c>
    </row>
    <row r="486" spans="1:18" hidden="1">
      <c r="A486" s="73">
        <v>7</v>
      </c>
      <c r="B486" s="73"/>
      <c r="C486" s="12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3">
        <f t="shared" si="205"/>
        <v>0</v>
      </c>
      <c r="O486" s="9">
        <f t="shared" si="206"/>
        <v>0</v>
      </c>
      <c r="P486" s="4">
        <f t="shared" si="210"/>
        <v>0</v>
      </c>
      <c r="Q486" s="11">
        <f t="shared" si="211"/>
        <v>0</v>
      </c>
      <c r="R486" s="10">
        <f t="shared" si="209"/>
        <v>0</v>
      </c>
    </row>
    <row r="487" spans="1:18" hidden="1">
      <c r="A487" s="73">
        <v>8</v>
      </c>
      <c r="B487" s="73"/>
      <c r="C487" s="12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3">
        <f t="shared" si="205"/>
        <v>0</v>
      </c>
      <c r="O487" s="9">
        <f t="shared" si="206"/>
        <v>0</v>
      </c>
      <c r="P487" s="4">
        <f t="shared" si="210"/>
        <v>0</v>
      </c>
      <c r="Q487" s="11">
        <f t="shared" si="211"/>
        <v>0</v>
      </c>
      <c r="R487" s="10">
        <f t="shared" si="209"/>
        <v>0</v>
      </c>
    </row>
    <row r="488" spans="1:18" hidden="1">
      <c r="A488" s="73">
        <v>9</v>
      </c>
      <c r="B488" s="73"/>
      <c r="C488" s="12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3">
        <f t="shared" si="205"/>
        <v>0</v>
      </c>
      <c r="O488" s="9">
        <f t="shared" si="206"/>
        <v>0</v>
      </c>
      <c r="P488" s="4">
        <f t="shared" si="210"/>
        <v>0</v>
      </c>
      <c r="Q488" s="11">
        <f t="shared" si="211"/>
        <v>0</v>
      </c>
      <c r="R488" s="10">
        <f t="shared" si="209"/>
        <v>0</v>
      </c>
    </row>
    <row r="489" spans="1:18" hidden="1">
      <c r="A489" s="73">
        <v>10</v>
      </c>
      <c r="B489" s="73"/>
      <c r="C489" s="12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3">
        <f t="shared" si="205"/>
        <v>0</v>
      </c>
      <c r="O489" s="9">
        <f t="shared" si="206"/>
        <v>0</v>
      </c>
      <c r="P489" s="4">
        <f t="shared" si="210"/>
        <v>0</v>
      </c>
      <c r="Q489" s="11">
        <f t="shared" si="211"/>
        <v>0</v>
      </c>
      <c r="R489" s="10">
        <f t="shared" si="209"/>
        <v>0</v>
      </c>
    </row>
    <row r="490" spans="1:18" hidden="1">
      <c r="A490" s="82" t="s">
        <v>36</v>
      </c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4"/>
      <c r="R490" s="10">
        <f>SUM(R480:R489)</f>
        <v>0</v>
      </c>
    </row>
    <row r="491" spans="1:18" ht="15.75" hidden="1">
      <c r="A491" s="24" t="s">
        <v>37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 hidden="1">
      <c r="A492" s="49" t="s">
        <v>49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 hidden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 hidden="1">
      <c r="A494" s="80" t="s">
        <v>134</v>
      </c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69"/>
      <c r="R494" s="8"/>
    </row>
    <row r="495" spans="1:18" ht="18" hidden="1">
      <c r="A495" s="78" t="s">
        <v>27</v>
      </c>
      <c r="B495" s="79"/>
      <c r="C495" s="7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69"/>
      <c r="R495" s="8"/>
    </row>
    <row r="496" spans="1:18" hidden="1">
      <c r="A496" s="80" t="s">
        <v>68</v>
      </c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69"/>
      <c r="R496" s="8"/>
    </row>
    <row r="497" spans="1:18" hidden="1">
      <c r="A497" s="73">
        <v>1</v>
      </c>
      <c r="B497" s="73"/>
      <c r="C497" s="12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3">
        <f t="shared" ref="N497:N506" si="21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213">IF(F497="OŽ",N497,IF(H497="Ne",IF(J497*0.3&lt;J497-L497,N497,0),IF(J497*0.1&lt;J497-L497,N497,0)))</f>
        <v>0</v>
      </c>
      <c r="P497" s="4">
        <f t="shared" ref="P497" si="21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215">IF(ISERROR(P497*100/N497),0,(P497*100/N497))</f>
        <v>0</v>
      </c>
      <c r="R497" s="10">
        <f t="shared" ref="R497:R506" si="21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 hidden="1">
      <c r="A498" s="73">
        <v>2</v>
      </c>
      <c r="B498" s="73"/>
      <c r="C498" s="12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3">
        <f t="shared" si="212"/>
        <v>0</v>
      </c>
      <c r="O498" s="9">
        <f t="shared" si="213"/>
        <v>0</v>
      </c>
      <c r="P498" s="4">
        <f t="shared" ref="P498:P506" si="21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218">IF(ISERROR(P498*100/N498),0,(P498*100/N498))</f>
        <v>0</v>
      </c>
      <c r="R498" s="10">
        <f t="shared" si="216"/>
        <v>0</v>
      </c>
    </row>
    <row r="499" spans="1:18" hidden="1">
      <c r="A499" s="73">
        <v>3</v>
      </c>
      <c r="B499" s="73"/>
      <c r="C499" s="12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3">
        <f t="shared" si="212"/>
        <v>0</v>
      </c>
      <c r="O499" s="9">
        <f t="shared" si="213"/>
        <v>0</v>
      </c>
      <c r="P499" s="4">
        <f t="shared" si="217"/>
        <v>0</v>
      </c>
      <c r="Q499" s="11">
        <f t="shared" si="218"/>
        <v>0</v>
      </c>
      <c r="R499" s="10">
        <f t="shared" si="216"/>
        <v>0</v>
      </c>
    </row>
    <row r="500" spans="1:18" hidden="1">
      <c r="A500" s="73">
        <v>4</v>
      </c>
      <c r="B500" s="73"/>
      <c r="C500" s="1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3">
        <f t="shared" si="212"/>
        <v>0</v>
      </c>
      <c r="O500" s="9">
        <f t="shared" si="213"/>
        <v>0</v>
      </c>
      <c r="P500" s="4">
        <f t="shared" si="217"/>
        <v>0</v>
      </c>
      <c r="Q500" s="11">
        <f t="shared" si="218"/>
        <v>0</v>
      </c>
      <c r="R500" s="10">
        <f t="shared" si="216"/>
        <v>0</v>
      </c>
    </row>
    <row r="501" spans="1:18" hidden="1">
      <c r="A501" s="73">
        <v>5</v>
      </c>
      <c r="B501" s="73"/>
      <c r="C501" s="12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3">
        <f t="shared" si="212"/>
        <v>0</v>
      </c>
      <c r="O501" s="9">
        <f t="shared" si="213"/>
        <v>0</v>
      </c>
      <c r="P501" s="4">
        <f t="shared" si="217"/>
        <v>0</v>
      </c>
      <c r="Q501" s="11">
        <f t="shared" si="218"/>
        <v>0</v>
      </c>
      <c r="R501" s="10">
        <f t="shared" si="216"/>
        <v>0</v>
      </c>
    </row>
    <row r="502" spans="1:18" hidden="1">
      <c r="A502" s="73">
        <v>6</v>
      </c>
      <c r="B502" s="73"/>
      <c r="C502" s="12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3">
        <f t="shared" si="212"/>
        <v>0</v>
      </c>
      <c r="O502" s="9">
        <f t="shared" si="213"/>
        <v>0</v>
      </c>
      <c r="P502" s="4">
        <f t="shared" si="217"/>
        <v>0</v>
      </c>
      <c r="Q502" s="11">
        <f t="shared" si="218"/>
        <v>0</v>
      </c>
      <c r="R502" s="10">
        <f t="shared" si="216"/>
        <v>0</v>
      </c>
    </row>
    <row r="503" spans="1:18" hidden="1">
      <c r="A503" s="73">
        <v>7</v>
      </c>
      <c r="B503" s="73"/>
      <c r="C503" s="12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3">
        <f t="shared" si="212"/>
        <v>0</v>
      </c>
      <c r="O503" s="9">
        <f t="shared" si="213"/>
        <v>0</v>
      </c>
      <c r="P503" s="4">
        <f t="shared" si="217"/>
        <v>0</v>
      </c>
      <c r="Q503" s="11">
        <f t="shared" si="218"/>
        <v>0</v>
      </c>
      <c r="R503" s="10">
        <f t="shared" si="216"/>
        <v>0</v>
      </c>
    </row>
    <row r="504" spans="1:18" hidden="1">
      <c r="A504" s="73">
        <v>8</v>
      </c>
      <c r="B504" s="73"/>
      <c r="C504" s="12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3">
        <f t="shared" si="212"/>
        <v>0</v>
      </c>
      <c r="O504" s="9">
        <f t="shared" si="213"/>
        <v>0</v>
      </c>
      <c r="P504" s="4">
        <f t="shared" si="217"/>
        <v>0</v>
      </c>
      <c r="Q504" s="11">
        <f t="shared" si="218"/>
        <v>0</v>
      </c>
      <c r="R504" s="10">
        <f t="shared" si="216"/>
        <v>0</v>
      </c>
    </row>
    <row r="505" spans="1:18" hidden="1">
      <c r="A505" s="73">
        <v>9</v>
      </c>
      <c r="B505" s="73"/>
      <c r="C505" s="12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3">
        <f t="shared" si="212"/>
        <v>0</v>
      </c>
      <c r="O505" s="9">
        <f t="shared" si="213"/>
        <v>0</v>
      </c>
      <c r="P505" s="4">
        <f t="shared" si="217"/>
        <v>0</v>
      </c>
      <c r="Q505" s="11">
        <f t="shared" si="218"/>
        <v>0</v>
      </c>
      <c r="R505" s="10">
        <f t="shared" si="216"/>
        <v>0</v>
      </c>
    </row>
    <row r="506" spans="1:18" hidden="1">
      <c r="A506" s="73">
        <v>10</v>
      </c>
      <c r="B506" s="73"/>
      <c r="C506" s="12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3">
        <f t="shared" si="212"/>
        <v>0</v>
      </c>
      <c r="O506" s="9">
        <f t="shared" si="213"/>
        <v>0</v>
      </c>
      <c r="P506" s="4">
        <f t="shared" si="217"/>
        <v>0</v>
      </c>
      <c r="Q506" s="11">
        <f t="shared" si="218"/>
        <v>0</v>
      </c>
      <c r="R506" s="10">
        <f t="shared" si="216"/>
        <v>0</v>
      </c>
    </row>
    <row r="507" spans="1:18" hidden="1">
      <c r="A507" s="82" t="s">
        <v>36</v>
      </c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4"/>
      <c r="R507" s="10">
        <f>SUM(R497:R506)</f>
        <v>0</v>
      </c>
    </row>
    <row r="508" spans="1:18" ht="15.75" hidden="1">
      <c r="A508" s="24" t="s">
        <v>37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 hidden="1">
      <c r="A509" s="49" t="s">
        <v>49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 hidden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 hidden="1">
      <c r="A511" s="80" t="s">
        <v>134</v>
      </c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69"/>
      <c r="R511" s="8"/>
    </row>
    <row r="512" spans="1:18" ht="18" hidden="1">
      <c r="A512" s="78" t="s">
        <v>27</v>
      </c>
      <c r="B512" s="79"/>
      <c r="C512" s="7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69"/>
      <c r="R512" s="8"/>
    </row>
    <row r="513" spans="1:18" hidden="1">
      <c r="A513" s="80" t="s">
        <v>68</v>
      </c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69"/>
      <c r="R513" s="8"/>
    </row>
    <row r="514" spans="1:18" hidden="1">
      <c r="A514" s="73">
        <v>1</v>
      </c>
      <c r="B514" s="73"/>
      <c r="C514" s="12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3">
        <f t="shared" ref="N514:N523" si="21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20">IF(F514="OŽ",N514,IF(H514="Ne",IF(J514*0.3&lt;J514-L514,N514,0),IF(J514*0.1&lt;J514-L514,N514,0)))</f>
        <v>0</v>
      </c>
      <c r="P514" s="4">
        <f t="shared" ref="P514" si="22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22">IF(ISERROR(P514*100/N514),0,(P514*100/N514))</f>
        <v>0</v>
      </c>
      <c r="R514" s="10">
        <f t="shared" ref="R514:R523" si="22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 hidden="1">
      <c r="A515" s="73">
        <v>2</v>
      </c>
      <c r="B515" s="73"/>
      <c r="C515" s="12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3">
        <f t="shared" si="219"/>
        <v>0</v>
      </c>
      <c r="O515" s="9">
        <f t="shared" si="220"/>
        <v>0</v>
      </c>
      <c r="P515" s="4">
        <f t="shared" ref="P515:P523" si="22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25">IF(ISERROR(P515*100/N515),0,(P515*100/N515))</f>
        <v>0</v>
      </c>
      <c r="R515" s="10">
        <f t="shared" si="223"/>
        <v>0</v>
      </c>
    </row>
    <row r="516" spans="1:18" hidden="1">
      <c r="A516" s="73">
        <v>3</v>
      </c>
      <c r="B516" s="73"/>
      <c r="C516" s="12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3">
        <f t="shared" si="219"/>
        <v>0</v>
      </c>
      <c r="O516" s="9">
        <f t="shared" si="220"/>
        <v>0</v>
      </c>
      <c r="P516" s="4">
        <f t="shared" si="224"/>
        <v>0</v>
      </c>
      <c r="Q516" s="11">
        <f t="shared" si="225"/>
        <v>0</v>
      </c>
      <c r="R516" s="10">
        <f t="shared" si="223"/>
        <v>0</v>
      </c>
    </row>
    <row r="517" spans="1:18" hidden="1">
      <c r="A517" s="73">
        <v>4</v>
      </c>
      <c r="B517" s="73"/>
      <c r="C517" s="12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3">
        <f t="shared" si="219"/>
        <v>0</v>
      </c>
      <c r="O517" s="9">
        <f t="shared" si="220"/>
        <v>0</v>
      </c>
      <c r="P517" s="4">
        <f t="shared" si="224"/>
        <v>0</v>
      </c>
      <c r="Q517" s="11">
        <f t="shared" si="225"/>
        <v>0</v>
      </c>
      <c r="R517" s="10">
        <f t="shared" si="223"/>
        <v>0</v>
      </c>
    </row>
    <row r="518" spans="1:18" hidden="1">
      <c r="A518" s="73">
        <v>5</v>
      </c>
      <c r="B518" s="73"/>
      <c r="C518" s="12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3">
        <f t="shared" si="219"/>
        <v>0</v>
      </c>
      <c r="O518" s="9">
        <f t="shared" si="220"/>
        <v>0</v>
      </c>
      <c r="P518" s="4">
        <f t="shared" si="224"/>
        <v>0</v>
      </c>
      <c r="Q518" s="11">
        <f t="shared" si="225"/>
        <v>0</v>
      </c>
      <c r="R518" s="10">
        <f t="shared" si="223"/>
        <v>0</v>
      </c>
    </row>
    <row r="519" spans="1:18" hidden="1">
      <c r="A519" s="73">
        <v>6</v>
      </c>
      <c r="B519" s="73"/>
      <c r="C519" s="12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3">
        <f t="shared" si="219"/>
        <v>0</v>
      </c>
      <c r="O519" s="9">
        <f t="shared" si="220"/>
        <v>0</v>
      </c>
      <c r="P519" s="4">
        <f t="shared" si="224"/>
        <v>0</v>
      </c>
      <c r="Q519" s="11">
        <f t="shared" si="225"/>
        <v>0</v>
      </c>
      <c r="R519" s="10">
        <f t="shared" si="223"/>
        <v>0</v>
      </c>
    </row>
    <row r="520" spans="1:18" hidden="1">
      <c r="A520" s="73">
        <v>7</v>
      </c>
      <c r="B520" s="73"/>
      <c r="C520" s="12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3">
        <f t="shared" si="219"/>
        <v>0</v>
      </c>
      <c r="O520" s="9">
        <f t="shared" si="220"/>
        <v>0</v>
      </c>
      <c r="P520" s="4">
        <f t="shared" si="224"/>
        <v>0</v>
      </c>
      <c r="Q520" s="11">
        <f t="shared" si="225"/>
        <v>0</v>
      </c>
      <c r="R520" s="10">
        <f t="shared" si="223"/>
        <v>0</v>
      </c>
    </row>
    <row r="521" spans="1:18" hidden="1">
      <c r="A521" s="73">
        <v>8</v>
      </c>
      <c r="B521" s="73"/>
      <c r="C521" s="12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3">
        <f t="shared" si="219"/>
        <v>0</v>
      </c>
      <c r="O521" s="9">
        <f t="shared" si="220"/>
        <v>0</v>
      </c>
      <c r="P521" s="4">
        <f t="shared" si="224"/>
        <v>0</v>
      </c>
      <c r="Q521" s="11">
        <f t="shared" si="225"/>
        <v>0</v>
      </c>
      <c r="R521" s="10">
        <f t="shared" si="223"/>
        <v>0</v>
      </c>
    </row>
    <row r="522" spans="1:18" hidden="1">
      <c r="A522" s="73">
        <v>9</v>
      </c>
      <c r="B522" s="73"/>
      <c r="C522" s="12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3">
        <f t="shared" si="219"/>
        <v>0</v>
      </c>
      <c r="O522" s="9">
        <f t="shared" si="220"/>
        <v>0</v>
      </c>
      <c r="P522" s="4">
        <f t="shared" si="224"/>
        <v>0</v>
      </c>
      <c r="Q522" s="11">
        <f t="shared" si="225"/>
        <v>0</v>
      </c>
      <c r="R522" s="10">
        <f t="shared" si="223"/>
        <v>0</v>
      </c>
    </row>
    <row r="523" spans="1:18" hidden="1">
      <c r="A523" s="73">
        <v>10</v>
      </c>
      <c r="B523" s="73"/>
      <c r="C523" s="12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3">
        <f t="shared" si="219"/>
        <v>0</v>
      </c>
      <c r="O523" s="9">
        <f t="shared" si="220"/>
        <v>0</v>
      </c>
      <c r="P523" s="4">
        <f t="shared" si="224"/>
        <v>0</v>
      </c>
      <c r="Q523" s="11">
        <f t="shared" si="225"/>
        <v>0</v>
      </c>
      <c r="R523" s="10">
        <f t="shared" si="223"/>
        <v>0</v>
      </c>
    </row>
    <row r="524" spans="1:18" hidden="1">
      <c r="A524" s="82" t="s">
        <v>36</v>
      </c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4"/>
      <c r="R524" s="10">
        <f>SUM(R514:R523)</f>
        <v>0</v>
      </c>
    </row>
    <row r="525" spans="1:18" ht="15.75" hidden="1">
      <c r="A525" s="24" t="s">
        <v>37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 hidden="1">
      <c r="A526" s="49" t="s">
        <v>49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 hidden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 hidden="1">
      <c r="A528" s="80" t="s">
        <v>134</v>
      </c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69"/>
      <c r="R528" s="8"/>
    </row>
    <row r="529" spans="1:18" ht="18" hidden="1">
      <c r="A529" s="78" t="s">
        <v>27</v>
      </c>
      <c r="B529" s="79"/>
      <c r="C529" s="7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69"/>
      <c r="R529" s="8"/>
    </row>
    <row r="530" spans="1:18" hidden="1">
      <c r="A530" s="80" t="s">
        <v>68</v>
      </c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69"/>
      <c r="R530" s="8"/>
    </row>
    <row r="531" spans="1:18" hidden="1">
      <c r="A531" s="73">
        <v>1</v>
      </c>
      <c r="B531" s="73"/>
      <c r="C531" s="12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3">
        <f t="shared" ref="N531:N540" si="22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27">IF(F531="OŽ",N531,IF(H531="Ne",IF(J531*0.3&lt;J531-L531,N531,0),IF(J531*0.1&lt;J531-L531,N531,0)))</f>
        <v>0</v>
      </c>
      <c r="P531" s="4">
        <f t="shared" ref="P531" si="22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29">IF(ISERROR(P531*100/N531),0,(P531*100/N531))</f>
        <v>0</v>
      </c>
      <c r="R531" s="10">
        <f t="shared" ref="R531:R540" si="23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 hidden="1">
      <c r="A532" s="73">
        <v>2</v>
      </c>
      <c r="B532" s="73"/>
      <c r="C532" s="12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3">
        <f t="shared" si="226"/>
        <v>0</v>
      </c>
      <c r="O532" s="9">
        <f t="shared" si="227"/>
        <v>0</v>
      </c>
      <c r="P532" s="4">
        <f t="shared" ref="P532:P540" si="23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32">IF(ISERROR(P532*100/N532),0,(P532*100/N532))</f>
        <v>0</v>
      </c>
      <c r="R532" s="10">
        <f t="shared" si="230"/>
        <v>0</v>
      </c>
    </row>
    <row r="533" spans="1:18" hidden="1">
      <c r="A533" s="73">
        <v>3</v>
      </c>
      <c r="B533" s="73"/>
      <c r="C533" s="12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3">
        <f t="shared" si="226"/>
        <v>0</v>
      </c>
      <c r="O533" s="9">
        <f t="shared" si="227"/>
        <v>0</v>
      </c>
      <c r="P533" s="4">
        <f t="shared" si="231"/>
        <v>0</v>
      </c>
      <c r="Q533" s="11">
        <f t="shared" si="232"/>
        <v>0</v>
      </c>
      <c r="R533" s="10">
        <f t="shared" si="230"/>
        <v>0</v>
      </c>
    </row>
    <row r="534" spans="1:18" hidden="1">
      <c r="A534" s="73">
        <v>4</v>
      </c>
      <c r="B534" s="73"/>
      <c r="C534" s="1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3">
        <f t="shared" si="226"/>
        <v>0</v>
      </c>
      <c r="O534" s="9">
        <f t="shared" si="227"/>
        <v>0</v>
      </c>
      <c r="P534" s="4">
        <f t="shared" si="231"/>
        <v>0</v>
      </c>
      <c r="Q534" s="11">
        <f t="shared" si="232"/>
        <v>0</v>
      </c>
      <c r="R534" s="10">
        <f t="shared" si="230"/>
        <v>0</v>
      </c>
    </row>
    <row r="535" spans="1:18" hidden="1">
      <c r="A535" s="73">
        <v>5</v>
      </c>
      <c r="B535" s="73"/>
      <c r="C535" s="12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3">
        <f t="shared" si="226"/>
        <v>0</v>
      </c>
      <c r="O535" s="9">
        <f t="shared" si="227"/>
        <v>0</v>
      </c>
      <c r="P535" s="4">
        <f t="shared" si="231"/>
        <v>0</v>
      </c>
      <c r="Q535" s="11">
        <f t="shared" si="232"/>
        <v>0</v>
      </c>
      <c r="R535" s="10">
        <f t="shared" si="230"/>
        <v>0</v>
      </c>
    </row>
    <row r="536" spans="1:18" hidden="1">
      <c r="A536" s="73">
        <v>6</v>
      </c>
      <c r="B536" s="73"/>
      <c r="C536" s="12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3">
        <f t="shared" si="226"/>
        <v>0</v>
      </c>
      <c r="O536" s="9">
        <f t="shared" si="227"/>
        <v>0</v>
      </c>
      <c r="P536" s="4">
        <f t="shared" si="231"/>
        <v>0</v>
      </c>
      <c r="Q536" s="11">
        <f t="shared" si="232"/>
        <v>0</v>
      </c>
      <c r="R536" s="10">
        <f t="shared" si="230"/>
        <v>0</v>
      </c>
    </row>
    <row r="537" spans="1:18" hidden="1">
      <c r="A537" s="73">
        <v>7</v>
      </c>
      <c r="B537" s="73"/>
      <c r="C537" s="12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3">
        <f t="shared" si="226"/>
        <v>0</v>
      </c>
      <c r="O537" s="9">
        <f t="shared" si="227"/>
        <v>0</v>
      </c>
      <c r="P537" s="4">
        <f t="shared" si="231"/>
        <v>0</v>
      </c>
      <c r="Q537" s="11">
        <f t="shared" si="232"/>
        <v>0</v>
      </c>
      <c r="R537" s="10">
        <f t="shared" si="230"/>
        <v>0</v>
      </c>
    </row>
    <row r="538" spans="1:18" hidden="1">
      <c r="A538" s="73">
        <v>8</v>
      </c>
      <c r="B538" s="73"/>
      <c r="C538" s="12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3">
        <f t="shared" si="226"/>
        <v>0</v>
      </c>
      <c r="O538" s="9">
        <f t="shared" si="227"/>
        <v>0</v>
      </c>
      <c r="P538" s="4">
        <f t="shared" si="231"/>
        <v>0</v>
      </c>
      <c r="Q538" s="11">
        <f t="shared" si="232"/>
        <v>0</v>
      </c>
      <c r="R538" s="10">
        <f t="shared" si="230"/>
        <v>0</v>
      </c>
    </row>
    <row r="539" spans="1:18" hidden="1">
      <c r="A539" s="73">
        <v>9</v>
      </c>
      <c r="B539" s="73"/>
      <c r="C539" s="12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3">
        <f t="shared" si="226"/>
        <v>0</v>
      </c>
      <c r="O539" s="9">
        <f t="shared" si="227"/>
        <v>0</v>
      </c>
      <c r="P539" s="4">
        <f t="shared" si="231"/>
        <v>0</v>
      </c>
      <c r="Q539" s="11">
        <f t="shared" si="232"/>
        <v>0</v>
      </c>
      <c r="R539" s="10">
        <f t="shared" si="230"/>
        <v>0</v>
      </c>
    </row>
    <row r="540" spans="1:18" hidden="1">
      <c r="A540" s="73">
        <v>10</v>
      </c>
      <c r="B540" s="73"/>
      <c r="C540" s="12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3">
        <f t="shared" si="226"/>
        <v>0</v>
      </c>
      <c r="O540" s="9">
        <f t="shared" si="227"/>
        <v>0</v>
      </c>
      <c r="P540" s="4">
        <f t="shared" si="231"/>
        <v>0</v>
      </c>
      <c r="Q540" s="11">
        <f t="shared" si="232"/>
        <v>0</v>
      </c>
      <c r="R540" s="10">
        <f t="shared" si="230"/>
        <v>0</v>
      </c>
    </row>
    <row r="541" spans="1:18" hidden="1">
      <c r="A541" s="82" t="s">
        <v>36</v>
      </c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4"/>
      <c r="R541" s="10">
        <f>SUM(R531:R540)</f>
        <v>0</v>
      </c>
    </row>
    <row r="542" spans="1:18" ht="15.75" hidden="1">
      <c r="A542" s="24" t="s">
        <v>37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 hidden="1">
      <c r="A543" s="49" t="s">
        <v>49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 hidden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hidden="1" customHeight="1">
      <c r="A545" s="80" t="s">
        <v>134</v>
      </c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69"/>
      <c r="R545" s="8"/>
    </row>
    <row r="546" spans="1:18" ht="15.6" hidden="1" customHeight="1">
      <c r="A546" s="78" t="s">
        <v>27</v>
      </c>
      <c r="B546" s="79"/>
      <c r="C546" s="7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69"/>
      <c r="R546" s="8"/>
    </row>
    <row r="547" spans="1:18" ht="13.9" hidden="1" customHeight="1">
      <c r="A547" s="80" t="s">
        <v>68</v>
      </c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69"/>
      <c r="R547" s="8"/>
    </row>
    <row r="548" spans="1:18" hidden="1">
      <c r="A548" s="73">
        <v>1</v>
      </c>
      <c r="B548" s="73"/>
      <c r="C548" s="12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3">
        <f t="shared" ref="N548:N557" si="23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34">IF(F548="OŽ",N548,IF(H548="Ne",IF(J548*0.3&lt;J548-L548,N548,0),IF(J548*0.1&lt;J548-L548,N548,0)))</f>
        <v>0</v>
      </c>
      <c r="P548" s="4">
        <f t="shared" ref="P548" si="23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36">IF(ISERROR(P548*100/N548),0,(P548*100/N548))</f>
        <v>0</v>
      </c>
      <c r="R548" s="10">
        <f t="shared" ref="R548:R557" si="23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 hidden="1">
      <c r="A549" s="73">
        <v>2</v>
      </c>
      <c r="B549" s="73"/>
      <c r="C549" s="12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3">
        <f t="shared" si="233"/>
        <v>0</v>
      </c>
      <c r="O549" s="9">
        <f t="shared" si="234"/>
        <v>0</v>
      </c>
      <c r="P549" s="4">
        <f t="shared" ref="P549:P557" si="23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39">IF(ISERROR(P549*100/N549),0,(P549*100/N549))</f>
        <v>0</v>
      </c>
      <c r="R549" s="10">
        <f t="shared" si="237"/>
        <v>0</v>
      </c>
    </row>
    <row r="550" spans="1:18" hidden="1">
      <c r="A550" s="73">
        <v>3</v>
      </c>
      <c r="B550" s="73"/>
      <c r="C550" s="12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3">
        <f t="shared" si="233"/>
        <v>0</v>
      </c>
      <c r="O550" s="9">
        <f t="shared" si="234"/>
        <v>0</v>
      </c>
      <c r="P550" s="4">
        <f t="shared" si="238"/>
        <v>0</v>
      </c>
      <c r="Q550" s="11">
        <f t="shared" si="239"/>
        <v>0</v>
      </c>
      <c r="R550" s="10">
        <f t="shared" si="237"/>
        <v>0</v>
      </c>
    </row>
    <row r="551" spans="1:18" hidden="1">
      <c r="A551" s="73">
        <v>4</v>
      </c>
      <c r="B551" s="73"/>
      <c r="C551" s="12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3">
        <f t="shared" si="233"/>
        <v>0</v>
      </c>
      <c r="O551" s="9">
        <f t="shared" si="234"/>
        <v>0</v>
      </c>
      <c r="P551" s="4">
        <f t="shared" si="238"/>
        <v>0</v>
      </c>
      <c r="Q551" s="11">
        <f t="shared" si="239"/>
        <v>0</v>
      </c>
      <c r="R551" s="10">
        <f t="shared" si="237"/>
        <v>0</v>
      </c>
    </row>
    <row r="552" spans="1:18" hidden="1">
      <c r="A552" s="73">
        <v>5</v>
      </c>
      <c r="B552" s="73"/>
      <c r="C552" s="12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3">
        <f t="shared" si="233"/>
        <v>0</v>
      </c>
      <c r="O552" s="9">
        <f t="shared" si="234"/>
        <v>0</v>
      </c>
      <c r="P552" s="4">
        <f t="shared" si="238"/>
        <v>0</v>
      </c>
      <c r="Q552" s="11">
        <f t="shared" si="239"/>
        <v>0</v>
      </c>
      <c r="R552" s="10">
        <f t="shared" si="237"/>
        <v>0</v>
      </c>
    </row>
    <row r="553" spans="1:18" hidden="1">
      <c r="A553" s="73">
        <v>6</v>
      </c>
      <c r="B553" s="73"/>
      <c r="C553" s="12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3">
        <f t="shared" si="233"/>
        <v>0</v>
      </c>
      <c r="O553" s="9">
        <f t="shared" si="234"/>
        <v>0</v>
      </c>
      <c r="P553" s="4">
        <f t="shared" si="238"/>
        <v>0</v>
      </c>
      <c r="Q553" s="11">
        <f t="shared" si="239"/>
        <v>0</v>
      </c>
      <c r="R553" s="10">
        <f t="shared" si="237"/>
        <v>0</v>
      </c>
    </row>
    <row r="554" spans="1:18" hidden="1">
      <c r="A554" s="73">
        <v>7</v>
      </c>
      <c r="B554" s="73"/>
      <c r="C554" s="12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3">
        <f t="shared" si="233"/>
        <v>0</v>
      </c>
      <c r="O554" s="9">
        <f t="shared" si="234"/>
        <v>0</v>
      </c>
      <c r="P554" s="4">
        <f t="shared" si="238"/>
        <v>0</v>
      </c>
      <c r="Q554" s="11">
        <f t="shared" si="239"/>
        <v>0</v>
      </c>
      <c r="R554" s="10">
        <f t="shared" si="237"/>
        <v>0</v>
      </c>
    </row>
    <row r="555" spans="1:18" hidden="1">
      <c r="A555" s="73">
        <v>8</v>
      </c>
      <c r="B555" s="73"/>
      <c r="C555" s="12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3">
        <f t="shared" si="233"/>
        <v>0</v>
      </c>
      <c r="O555" s="9">
        <f t="shared" si="234"/>
        <v>0</v>
      </c>
      <c r="P555" s="4">
        <f t="shared" si="238"/>
        <v>0</v>
      </c>
      <c r="Q555" s="11">
        <f t="shared" si="239"/>
        <v>0</v>
      </c>
      <c r="R555" s="10">
        <f t="shared" si="237"/>
        <v>0</v>
      </c>
    </row>
    <row r="556" spans="1:18" hidden="1">
      <c r="A556" s="73">
        <v>9</v>
      </c>
      <c r="B556" s="73"/>
      <c r="C556" s="12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3">
        <f t="shared" si="233"/>
        <v>0</v>
      </c>
      <c r="O556" s="9">
        <f t="shared" si="234"/>
        <v>0</v>
      </c>
      <c r="P556" s="4">
        <f t="shared" si="238"/>
        <v>0</v>
      </c>
      <c r="Q556" s="11">
        <f t="shared" si="239"/>
        <v>0</v>
      </c>
      <c r="R556" s="10">
        <f t="shared" si="237"/>
        <v>0</v>
      </c>
    </row>
    <row r="557" spans="1:18" hidden="1">
      <c r="A557" s="73">
        <v>10</v>
      </c>
      <c r="B557" s="73"/>
      <c r="C557" s="12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3">
        <f t="shared" si="233"/>
        <v>0</v>
      </c>
      <c r="O557" s="9">
        <f t="shared" si="234"/>
        <v>0</v>
      </c>
      <c r="P557" s="4">
        <f t="shared" si="238"/>
        <v>0</v>
      </c>
      <c r="Q557" s="11">
        <f t="shared" si="239"/>
        <v>0</v>
      </c>
      <c r="R557" s="10">
        <f t="shared" si="237"/>
        <v>0</v>
      </c>
    </row>
    <row r="558" spans="1:18" ht="13.9" hidden="1" customHeight="1">
      <c r="A558" s="82" t="s">
        <v>36</v>
      </c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4"/>
      <c r="R558" s="10">
        <f>SUM(R548:R557)</f>
        <v>0</v>
      </c>
    </row>
    <row r="559" spans="1:18" ht="15.75" hidden="1">
      <c r="A559" s="24" t="s">
        <v>37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 hidden="1">
      <c r="A560" s="49" t="s">
        <v>49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 hidden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 hidden="1">
      <c r="A562" s="80" t="s">
        <v>134</v>
      </c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69"/>
      <c r="R562" s="8"/>
    </row>
    <row r="563" spans="1:18" ht="18" hidden="1">
      <c r="A563" s="78" t="s">
        <v>27</v>
      </c>
      <c r="B563" s="79"/>
      <c r="C563" s="7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69"/>
      <c r="R563" s="8"/>
    </row>
    <row r="564" spans="1:18" hidden="1">
      <c r="A564" s="80" t="s">
        <v>68</v>
      </c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69"/>
      <c r="R564" s="8"/>
    </row>
    <row r="565" spans="1:18" hidden="1">
      <c r="A565" s="73">
        <v>1</v>
      </c>
      <c r="B565" s="73"/>
      <c r="C565" s="12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3">
        <f t="shared" ref="N565:N574" si="24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41">IF(F565="OŽ",N565,IF(H565="Ne",IF(J565*0.3&lt;J565-L565,N565,0),IF(J565*0.1&lt;J565-L565,N565,0)))</f>
        <v>0</v>
      </c>
      <c r="P565" s="4">
        <f t="shared" ref="P565" si="24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43">IF(ISERROR(P565*100/N565),0,(P565*100/N565))</f>
        <v>0</v>
      </c>
      <c r="R565" s="10">
        <f t="shared" ref="R565:R574" si="24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 hidden="1">
      <c r="A566" s="73">
        <v>2</v>
      </c>
      <c r="B566" s="73"/>
      <c r="C566" s="12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3">
        <f t="shared" si="240"/>
        <v>0</v>
      </c>
      <c r="O566" s="9">
        <f t="shared" si="241"/>
        <v>0</v>
      </c>
      <c r="P566" s="4">
        <f t="shared" ref="P566:P574" si="24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46">IF(ISERROR(P566*100/N566),0,(P566*100/N566))</f>
        <v>0</v>
      </c>
      <c r="R566" s="10">
        <f t="shared" si="244"/>
        <v>0</v>
      </c>
    </row>
    <row r="567" spans="1:18" hidden="1">
      <c r="A567" s="73">
        <v>3</v>
      </c>
      <c r="B567" s="73"/>
      <c r="C567" s="12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3">
        <f t="shared" si="240"/>
        <v>0</v>
      </c>
      <c r="O567" s="9">
        <f t="shared" si="241"/>
        <v>0</v>
      </c>
      <c r="P567" s="4">
        <f t="shared" si="245"/>
        <v>0</v>
      </c>
      <c r="Q567" s="11">
        <f t="shared" si="246"/>
        <v>0</v>
      </c>
      <c r="R567" s="10">
        <f t="shared" si="244"/>
        <v>0</v>
      </c>
    </row>
    <row r="568" spans="1:18" hidden="1">
      <c r="A568" s="73">
        <v>4</v>
      </c>
      <c r="B568" s="73"/>
      <c r="C568" s="12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3">
        <f t="shared" si="240"/>
        <v>0</v>
      </c>
      <c r="O568" s="9">
        <f t="shared" si="241"/>
        <v>0</v>
      </c>
      <c r="P568" s="4">
        <f t="shared" si="245"/>
        <v>0</v>
      </c>
      <c r="Q568" s="11">
        <f t="shared" si="246"/>
        <v>0</v>
      </c>
      <c r="R568" s="10">
        <f t="shared" si="244"/>
        <v>0</v>
      </c>
    </row>
    <row r="569" spans="1:18" hidden="1">
      <c r="A569" s="73">
        <v>5</v>
      </c>
      <c r="B569" s="73"/>
      <c r="C569" s="12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3">
        <f t="shared" si="240"/>
        <v>0</v>
      </c>
      <c r="O569" s="9">
        <f t="shared" si="241"/>
        <v>0</v>
      </c>
      <c r="P569" s="4">
        <f t="shared" si="245"/>
        <v>0</v>
      </c>
      <c r="Q569" s="11">
        <f t="shared" si="246"/>
        <v>0</v>
      </c>
      <c r="R569" s="10">
        <f t="shared" si="244"/>
        <v>0</v>
      </c>
    </row>
    <row r="570" spans="1:18" hidden="1">
      <c r="A570" s="73">
        <v>6</v>
      </c>
      <c r="B570" s="73"/>
      <c r="C570" s="12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3">
        <f t="shared" si="240"/>
        <v>0</v>
      </c>
      <c r="O570" s="9">
        <f t="shared" si="241"/>
        <v>0</v>
      </c>
      <c r="P570" s="4">
        <f t="shared" si="245"/>
        <v>0</v>
      </c>
      <c r="Q570" s="11">
        <f t="shared" si="246"/>
        <v>0</v>
      </c>
      <c r="R570" s="10">
        <f t="shared" si="244"/>
        <v>0</v>
      </c>
    </row>
    <row r="571" spans="1:18" hidden="1">
      <c r="A571" s="73">
        <v>7</v>
      </c>
      <c r="B571" s="73"/>
      <c r="C571" s="12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3">
        <f t="shared" si="240"/>
        <v>0</v>
      </c>
      <c r="O571" s="9">
        <f t="shared" si="241"/>
        <v>0</v>
      </c>
      <c r="P571" s="4">
        <f t="shared" si="245"/>
        <v>0</v>
      </c>
      <c r="Q571" s="11">
        <f t="shared" si="246"/>
        <v>0</v>
      </c>
      <c r="R571" s="10">
        <f t="shared" si="244"/>
        <v>0</v>
      </c>
    </row>
    <row r="572" spans="1:18" hidden="1">
      <c r="A572" s="73">
        <v>8</v>
      </c>
      <c r="B572" s="73"/>
      <c r="C572" s="12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3">
        <f t="shared" si="240"/>
        <v>0</v>
      </c>
      <c r="O572" s="9">
        <f t="shared" si="241"/>
        <v>0</v>
      </c>
      <c r="P572" s="4">
        <f t="shared" si="245"/>
        <v>0</v>
      </c>
      <c r="Q572" s="11">
        <f t="shared" si="246"/>
        <v>0</v>
      </c>
      <c r="R572" s="10">
        <f t="shared" si="244"/>
        <v>0</v>
      </c>
    </row>
    <row r="573" spans="1:18" hidden="1">
      <c r="A573" s="73">
        <v>9</v>
      </c>
      <c r="B573" s="73"/>
      <c r="C573" s="12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3">
        <f t="shared" si="240"/>
        <v>0</v>
      </c>
      <c r="O573" s="9">
        <f t="shared" si="241"/>
        <v>0</v>
      </c>
      <c r="P573" s="4">
        <f t="shared" si="245"/>
        <v>0</v>
      </c>
      <c r="Q573" s="11">
        <f t="shared" si="246"/>
        <v>0</v>
      </c>
      <c r="R573" s="10">
        <f t="shared" si="244"/>
        <v>0</v>
      </c>
    </row>
    <row r="574" spans="1:18" hidden="1">
      <c r="A574" s="73">
        <v>10</v>
      </c>
      <c r="B574" s="73"/>
      <c r="C574" s="12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3">
        <f t="shared" si="240"/>
        <v>0</v>
      </c>
      <c r="O574" s="9">
        <f t="shared" si="241"/>
        <v>0</v>
      </c>
      <c r="P574" s="4">
        <f t="shared" si="245"/>
        <v>0</v>
      </c>
      <c r="Q574" s="11">
        <f t="shared" si="246"/>
        <v>0</v>
      </c>
      <c r="R574" s="10">
        <f t="shared" si="244"/>
        <v>0</v>
      </c>
    </row>
    <row r="575" spans="1:18" hidden="1">
      <c r="A575" s="82" t="s">
        <v>36</v>
      </c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4"/>
      <c r="R575" s="10">
        <f>SUM(R565:R574)</f>
        <v>0</v>
      </c>
    </row>
    <row r="576" spans="1:18" ht="15.75" hidden="1">
      <c r="A576" s="24" t="s">
        <v>37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 hidden="1">
      <c r="A577" s="49" t="s">
        <v>49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 hidden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 hidden="1">
      <c r="A579" s="80" t="s">
        <v>134</v>
      </c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69"/>
      <c r="R579" s="8"/>
    </row>
    <row r="580" spans="1:18" ht="18" hidden="1">
      <c r="A580" s="78" t="s">
        <v>27</v>
      </c>
      <c r="B580" s="79"/>
      <c r="C580" s="7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69"/>
      <c r="R580" s="8"/>
    </row>
    <row r="581" spans="1:18" hidden="1">
      <c r="A581" s="80" t="s">
        <v>68</v>
      </c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69"/>
      <c r="R581" s="8"/>
    </row>
    <row r="582" spans="1:18" hidden="1">
      <c r="A582" s="73">
        <v>1</v>
      </c>
      <c r="B582" s="73"/>
      <c r="C582" s="12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3">
        <f t="shared" ref="N582:N591" si="24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48">IF(F582="OŽ",N582,IF(H582="Ne",IF(J582*0.3&lt;J582-L582,N582,0),IF(J582*0.1&lt;J582-L582,N582,0)))</f>
        <v>0</v>
      </c>
      <c r="P582" s="4">
        <f t="shared" ref="P582" si="24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50">IF(ISERROR(P582*100/N582),0,(P582*100/N582))</f>
        <v>0</v>
      </c>
      <c r="R582" s="10">
        <f t="shared" ref="R582:R591" si="25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 hidden="1">
      <c r="A583" s="73">
        <v>2</v>
      </c>
      <c r="B583" s="73"/>
      <c r="C583" s="12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3">
        <f t="shared" si="247"/>
        <v>0</v>
      </c>
      <c r="O583" s="9">
        <f t="shared" si="248"/>
        <v>0</v>
      </c>
      <c r="P583" s="4">
        <f t="shared" ref="P583:P591" si="25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53">IF(ISERROR(P583*100/N583),0,(P583*100/N583))</f>
        <v>0</v>
      </c>
      <c r="R583" s="10">
        <f t="shared" si="251"/>
        <v>0</v>
      </c>
    </row>
    <row r="584" spans="1:18" hidden="1">
      <c r="A584" s="73">
        <v>3</v>
      </c>
      <c r="B584" s="73"/>
      <c r="C584" s="12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3">
        <f t="shared" si="247"/>
        <v>0</v>
      </c>
      <c r="O584" s="9">
        <f t="shared" si="248"/>
        <v>0</v>
      </c>
      <c r="P584" s="4">
        <f t="shared" si="252"/>
        <v>0</v>
      </c>
      <c r="Q584" s="11">
        <f t="shared" si="253"/>
        <v>0</v>
      </c>
      <c r="R584" s="10">
        <f t="shared" si="251"/>
        <v>0</v>
      </c>
    </row>
    <row r="585" spans="1:18" hidden="1">
      <c r="A585" s="73">
        <v>4</v>
      </c>
      <c r="B585" s="73"/>
      <c r="C585" s="12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3">
        <f t="shared" si="247"/>
        <v>0</v>
      </c>
      <c r="O585" s="9">
        <f t="shared" si="248"/>
        <v>0</v>
      </c>
      <c r="P585" s="4">
        <f t="shared" si="252"/>
        <v>0</v>
      </c>
      <c r="Q585" s="11">
        <f t="shared" si="253"/>
        <v>0</v>
      </c>
      <c r="R585" s="10">
        <f t="shared" si="251"/>
        <v>0</v>
      </c>
    </row>
    <row r="586" spans="1:18" hidden="1">
      <c r="A586" s="73">
        <v>5</v>
      </c>
      <c r="B586" s="73"/>
      <c r="C586" s="12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3">
        <f t="shared" si="247"/>
        <v>0</v>
      </c>
      <c r="O586" s="9">
        <f t="shared" si="248"/>
        <v>0</v>
      </c>
      <c r="P586" s="4">
        <f t="shared" si="252"/>
        <v>0</v>
      </c>
      <c r="Q586" s="11">
        <f t="shared" si="253"/>
        <v>0</v>
      </c>
      <c r="R586" s="10">
        <f t="shared" si="251"/>
        <v>0</v>
      </c>
    </row>
    <row r="587" spans="1:18" hidden="1">
      <c r="A587" s="73">
        <v>6</v>
      </c>
      <c r="B587" s="73"/>
      <c r="C587" s="12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3">
        <f t="shared" si="247"/>
        <v>0</v>
      </c>
      <c r="O587" s="9">
        <f t="shared" si="248"/>
        <v>0</v>
      </c>
      <c r="P587" s="4">
        <f t="shared" si="252"/>
        <v>0</v>
      </c>
      <c r="Q587" s="11">
        <f t="shared" si="253"/>
        <v>0</v>
      </c>
      <c r="R587" s="10">
        <f t="shared" si="251"/>
        <v>0</v>
      </c>
    </row>
    <row r="588" spans="1:18" hidden="1">
      <c r="A588" s="73">
        <v>7</v>
      </c>
      <c r="B588" s="73"/>
      <c r="C588" s="12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3">
        <f t="shared" si="247"/>
        <v>0</v>
      </c>
      <c r="O588" s="9">
        <f t="shared" si="248"/>
        <v>0</v>
      </c>
      <c r="P588" s="4">
        <f t="shared" si="252"/>
        <v>0</v>
      </c>
      <c r="Q588" s="11">
        <f t="shared" si="253"/>
        <v>0</v>
      </c>
      <c r="R588" s="10">
        <f t="shared" si="251"/>
        <v>0</v>
      </c>
    </row>
    <row r="589" spans="1:18" hidden="1">
      <c r="A589" s="73">
        <v>8</v>
      </c>
      <c r="B589" s="73"/>
      <c r="C589" s="12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3">
        <f t="shared" si="247"/>
        <v>0</v>
      </c>
      <c r="O589" s="9">
        <f t="shared" si="248"/>
        <v>0</v>
      </c>
      <c r="P589" s="4">
        <f t="shared" si="252"/>
        <v>0</v>
      </c>
      <c r="Q589" s="11">
        <f t="shared" si="253"/>
        <v>0</v>
      </c>
      <c r="R589" s="10">
        <f t="shared" si="251"/>
        <v>0</v>
      </c>
    </row>
    <row r="590" spans="1:18" hidden="1">
      <c r="A590" s="73">
        <v>9</v>
      </c>
      <c r="B590" s="73"/>
      <c r="C590" s="12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3">
        <f t="shared" si="247"/>
        <v>0</v>
      </c>
      <c r="O590" s="9">
        <f t="shared" si="248"/>
        <v>0</v>
      </c>
      <c r="P590" s="4">
        <f t="shared" si="252"/>
        <v>0</v>
      </c>
      <c r="Q590" s="11">
        <f t="shared" si="253"/>
        <v>0</v>
      </c>
      <c r="R590" s="10">
        <f t="shared" si="251"/>
        <v>0</v>
      </c>
    </row>
    <row r="591" spans="1:18" hidden="1">
      <c r="A591" s="73">
        <v>10</v>
      </c>
      <c r="B591" s="73"/>
      <c r="C591" s="12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3">
        <f t="shared" si="247"/>
        <v>0</v>
      </c>
      <c r="O591" s="9">
        <f t="shared" si="248"/>
        <v>0</v>
      </c>
      <c r="P591" s="4">
        <f t="shared" si="252"/>
        <v>0</v>
      </c>
      <c r="Q591" s="11">
        <f t="shared" si="253"/>
        <v>0</v>
      </c>
      <c r="R591" s="10">
        <f t="shared" si="251"/>
        <v>0</v>
      </c>
    </row>
    <row r="592" spans="1:18" hidden="1">
      <c r="A592" s="82" t="s">
        <v>36</v>
      </c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4"/>
      <c r="R592" s="10">
        <f>SUM(R582:R591)</f>
        <v>0</v>
      </c>
    </row>
    <row r="593" spans="1:18" ht="15.75" hidden="1">
      <c r="A593" s="24" t="s">
        <v>37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 hidden="1">
      <c r="A594" s="49" t="s">
        <v>49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 hidden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 hidden="1">
      <c r="A596" s="80" t="s">
        <v>134</v>
      </c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69"/>
      <c r="R596" s="8"/>
    </row>
    <row r="597" spans="1:18" ht="18" hidden="1">
      <c r="A597" s="78" t="s">
        <v>27</v>
      </c>
      <c r="B597" s="79"/>
      <c r="C597" s="7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69"/>
      <c r="R597" s="8"/>
    </row>
    <row r="598" spans="1:18" hidden="1">
      <c r="A598" s="80" t="s">
        <v>68</v>
      </c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69"/>
      <c r="R598" s="8"/>
    </row>
    <row r="599" spans="1:18" hidden="1">
      <c r="A599" s="73">
        <v>1</v>
      </c>
      <c r="B599" s="73"/>
      <c r="C599" s="12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3">
        <f t="shared" ref="N599:N607" si="25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55">IF(F599="OŽ",N599,IF(H599="Ne",IF(J599*0.3&lt;J599-L599,N599,0),IF(J599*0.1&lt;J599-L599,N599,0)))</f>
        <v>0</v>
      </c>
      <c r="P599" s="4">
        <f t="shared" ref="P599" si="25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57">IF(ISERROR(P599*100/N599),0,(P599*100/N599))</f>
        <v>0</v>
      </c>
      <c r="R599" s="10">
        <f t="shared" ref="R599:R607" si="25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 hidden="1">
      <c r="A600" s="73">
        <v>2</v>
      </c>
      <c r="B600" s="73"/>
      <c r="C600" s="12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3">
        <f t="shared" si="254"/>
        <v>0</v>
      </c>
      <c r="O600" s="9">
        <f t="shared" si="255"/>
        <v>0</v>
      </c>
      <c r="P600" s="4">
        <f t="shared" ref="P600:P608" si="25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60">IF(ISERROR(P600*100/N600),0,(P600*100/N600))</f>
        <v>0</v>
      </c>
      <c r="R600" s="10">
        <f t="shared" si="258"/>
        <v>0</v>
      </c>
    </row>
    <row r="601" spans="1:18" hidden="1">
      <c r="A601" s="73">
        <v>3</v>
      </c>
      <c r="B601" s="73"/>
      <c r="C601" s="12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3">
        <f t="shared" si="254"/>
        <v>0</v>
      </c>
      <c r="O601" s="9">
        <f t="shared" si="255"/>
        <v>0</v>
      </c>
      <c r="P601" s="4">
        <f t="shared" si="259"/>
        <v>0</v>
      </c>
      <c r="Q601" s="11">
        <f t="shared" si="260"/>
        <v>0</v>
      </c>
      <c r="R601" s="10">
        <f t="shared" si="258"/>
        <v>0</v>
      </c>
    </row>
    <row r="602" spans="1:18" hidden="1">
      <c r="A602" s="73">
        <v>4</v>
      </c>
      <c r="B602" s="73"/>
      <c r="C602" s="12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3">
        <f t="shared" si="254"/>
        <v>0</v>
      </c>
      <c r="O602" s="9">
        <f t="shared" si="255"/>
        <v>0</v>
      </c>
      <c r="P602" s="4">
        <f t="shared" si="259"/>
        <v>0</v>
      </c>
      <c r="Q602" s="11">
        <f t="shared" si="260"/>
        <v>0</v>
      </c>
      <c r="R602" s="10">
        <f t="shared" si="258"/>
        <v>0</v>
      </c>
    </row>
    <row r="603" spans="1:18" hidden="1">
      <c r="A603" s="73">
        <v>5</v>
      </c>
      <c r="B603" s="73"/>
      <c r="C603" s="12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3">
        <f t="shared" si="254"/>
        <v>0</v>
      </c>
      <c r="O603" s="9">
        <f t="shared" si="255"/>
        <v>0</v>
      </c>
      <c r="P603" s="4">
        <f t="shared" si="259"/>
        <v>0</v>
      </c>
      <c r="Q603" s="11">
        <f t="shared" si="260"/>
        <v>0</v>
      </c>
      <c r="R603" s="10">
        <f t="shared" si="258"/>
        <v>0</v>
      </c>
    </row>
    <row r="604" spans="1:18" hidden="1">
      <c r="A604" s="73">
        <v>6</v>
      </c>
      <c r="B604" s="73"/>
      <c r="C604" s="12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3">
        <f t="shared" si="254"/>
        <v>0</v>
      </c>
      <c r="O604" s="9">
        <f t="shared" si="255"/>
        <v>0</v>
      </c>
      <c r="P604" s="4">
        <f t="shared" si="259"/>
        <v>0</v>
      </c>
      <c r="Q604" s="11">
        <f t="shared" si="260"/>
        <v>0</v>
      </c>
      <c r="R604" s="10">
        <f t="shared" si="258"/>
        <v>0</v>
      </c>
    </row>
    <row r="605" spans="1:18" hidden="1">
      <c r="A605" s="73">
        <v>7</v>
      </c>
      <c r="B605" s="73"/>
      <c r="C605" s="12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3">
        <f t="shared" si="254"/>
        <v>0</v>
      </c>
      <c r="O605" s="9">
        <f t="shared" si="255"/>
        <v>0</v>
      </c>
      <c r="P605" s="4">
        <f t="shared" si="259"/>
        <v>0</v>
      </c>
      <c r="Q605" s="11">
        <f t="shared" si="260"/>
        <v>0</v>
      </c>
      <c r="R605" s="10">
        <f t="shared" si="258"/>
        <v>0</v>
      </c>
    </row>
    <row r="606" spans="1:18" hidden="1">
      <c r="A606" s="73">
        <v>8</v>
      </c>
      <c r="B606" s="73"/>
      <c r="C606" s="12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3">
        <f t="shared" si="254"/>
        <v>0</v>
      </c>
      <c r="O606" s="9">
        <f t="shared" si="255"/>
        <v>0</v>
      </c>
      <c r="P606" s="4">
        <f t="shared" si="259"/>
        <v>0</v>
      </c>
      <c r="Q606" s="11">
        <f t="shared" si="260"/>
        <v>0</v>
      </c>
      <c r="R606" s="10">
        <f t="shared" si="258"/>
        <v>0</v>
      </c>
    </row>
    <row r="607" spans="1:18" hidden="1">
      <c r="A607" s="73">
        <v>9</v>
      </c>
      <c r="B607" s="73"/>
      <c r="C607" s="12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3">
        <f t="shared" si="254"/>
        <v>0</v>
      </c>
      <c r="O607" s="9">
        <f t="shared" si="255"/>
        <v>0</v>
      </c>
      <c r="P607" s="4">
        <f t="shared" si="259"/>
        <v>0</v>
      </c>
      <c r="Q607" s="11">
        <f t="shared" si="260"/>
        <v>0</v>
      </c>
      <c r="R607" s="10">
        <f t="shared" si="258"/>
        <v>0</v>
      </c>
    </row>
    <row r="608" spans="1:18" hidden="1">
      <c r="A608" s="73">
        <v>10</v>
      </c>
      <c r="B608" s="73"/>
      <c r="C608" s="12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59"/>
        <v>0</v>
      </c>
      <c r="Q608" s="11">
        <f t="shared" si="26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 hidden="1">
      <c r="A609" s="82" t="s">
        <v>36</v>
      </c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4"/>
      <c r="R609" s="10">
        <f>SUM(R599:R608)</f>
        <v>0</v>
      </c>
    </row>
    <row r="610" spans="1:18" ht="15.75" hidden="1">
      <c r="A610" s="24" t="s">
        <v>37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 hidden="1">
      <c r="A611" s="49" t="s">
        <v>49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91" t="s">
        <v>135</v>
      </c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3"/>
      <c r="R613" s="116">
        <f>SUM(R30+R48+R67+R84+R101+R118+R135+R152+R169+R186+R203+R220+R237+R254+R271+R287+R304+R321+R338+R355+R372+R389+R406+R423+R440+R456+R473+R490+R507+R524+R541+R558+R575+R592+R609)</f>
        <v>748.28901000000019</v>
      </c>
    </row>
    <row r="614" spans="1:18">
      <c r="A614" s="94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6"/>
      <c r="R614" s="117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101" t="s">
        <v>136</v>
      </c>
      <c r="B616" s="101"/>
      <c r="C616" s="101"/>
      <c r="D616" s="101"/>
      <c r="E616" s="101"/>
      <c r="F616" s="8"/>
      <c r="G616" s="8"/>
      <c r="H616" s="8"/>
      <c r="J616" s="8"/>
      <c r="L616" s="8"/>
      <c r="M616" s="8"/>
      <c r="R616" s="8"/>
    </row>
    <row r="617" spans="1:18" ht="15.75">
      <c r="A617" s="70"/>
      <c r="B617" s="70"/>
      <c r="C617" s="70"/>
      <c r="D617" s="70"/>
      <c r="E617" s="70"/>
      <c r="F617" s="8"/>
      <c r="G617" s="8"/>
      <c r="H617" s="8"/>
      <c r="J617" s="8"/>
      <c r="L617" s="8"/>
      <c r="M617" s="8"/>
      <c r="R617" s="8"/>
    </row>
    <row r="618" spans="1:18" ht="15.75">
      <c r="A618" s="70"/>
      <c r="B618" s="70"/>
      <c r="C618" s="70"/>
      <c r="D618" s="70"/>
      <c r="E618" s="70"/>
      <c r="F618" s="8"/>
      <c r="G618" s="8"/>
      <c r="H618" s="8"/>
      <c r="J618" s="8"/>
      <c r="L618" s="8"/>
      <c r="M618" s="8"/>
      <c r="R618" s="8"/>
    </row>
    <row r="619" spans="1:18" ht="15.75">
      <c r="A619" s="70"/>
      <c r="B619" s="70"/>
      <c r="C619" s="70"/>
      <c r="D619" s="70"/>
      <c r="E619" s="70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137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s="8" customFormat="1" ht="15.75">
      <c r="A622" s="24"/>
      <c r="B622" s="65" t="s">
        <v>138</v>
      </c>
      <c r="C622"/>
      <c r="D622"/>
      <c r="E622" s="66"/>
      <c r="F622" s="67"/>
      <c r="G622" s="13"/>
      <c r="I622" s="48" t="s">
        <v>139</v>
      </c>
      <c r="N622" s="2"/>
      <c r="O622" s="2"/>
      <c r="P622" s="2"/>
      <c r="Q622" s="2"/>
    </row>
    <row r="623" spans="1:18" ht="15.75">
      <c r="A623" s="25" t="s">
        <v>140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141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7">
    <mergeCell ref="A35:P35"/>
    <mergeCell ref="A36:C36"/>
    <mergeCell ref="A37:P37"/>
    <mergeCell ref="A48:Q48"/>
    <mergeCell ref="A54:P5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17:P17"/>
    <mergeCell ref="A67:Q67"/>
    <mergeCell ref="A71:P71"/>
    <mergeCell ref="A72:C72"/>
    <mergeCell ref="A73:P73"/>
    <mergeCell ref="A84:Q84"/>
    <mergeCell ref="A89:P89"/>
    <mergeCell ref="A19:P19"/>
    <mergeCell ref="A30:Q30"/>
    <mergeCell ref="A241:P241"/>
    <mergeCell ref="A157:C157"/>
    <mergeCell ref="A158:P158"/>
    <mergeCell ref="A169:Q169"/>
    <mergeCell ref="A173:P173"/>
    <mergeCell ref="A174:C174"/>
    <mergeCell ref="A175:P175"/>
    <mergeCell ref="A186:Q186"/>
    <mergeCell ref="A190:P190"/>
    <mergeCell ref="A191:C191"/>
    <mergeCell ref="A192:P192"/>
    <mergeCell ref="A226:P226"/>
    <mergeCell ref="A237:Q237"/>
    <mergeCell ref="A613:Q614"/>
    <mergeCell ref="A242:C242"/>
    <mergeCell ref="A243:P243"/>
    <mergeCell ref="A254:Q254"/>
    <mergeCell ref="A258:P258"/>
    <mergeCell ref="A259:C259"/>
    <mergeCell ref="A260:P260"/>
    <mergeCell ref="A271:Q271"/>
    <mergeCell ref="A274:P274"/>
    <mergeCell ref="A275:C275"/>
    <mergeCell ref="A276:P276"/>
    <mergeCell ref="A460:P460"/>
    <mergeCell ref="A461:C461"/>
    <mergeCell ref="A462:P462"/>
    <mergeCell ref="A473:Q473"/>
    <mergeCell ref="A477:P477"/>
    <mergeCell ref="A456:Q456"/>
    <mergeCell ref="A446:P446"/>
    <mergeCell ref="A360:C360"/>
    <mergeCell ref="A361:P361"/>
    <mergeCell ref="A372:Q372"/>
    <mergeCell ref="A376:P376"/>
    <mergeCell ref="A377:C377"/>
    <mergeCell ref="A378:P378"/>
    <mergeCell ref="A389:Q389"/>
    <mergeCell ref="A393:P393"/>
    <mergeCell ref="A394:C394"/>
    <mergeCell ref="A395:P395"/>
    <mergeCell ref="A406:Q406"/>
    <mergeCell ref="A410:P410"/>
    <mergeCell ref="A496:P496"/>
    <mergeCell ref="A507:Q507"/>
    <mergeCell ref="A511:P511"/>
    <mergeCell ref="A411:C411"/>
    <mergeCell ref="A412:P412"/>
    <mergeCell ref="A423:Q423"/>
    <mergeCell ref="A427:P427"/>
    <mergeCell ref="A428:C428"/>
    <mergeCell ref="A429:P429"/>
    <mergeCell ref="A440:Q440"/>
    <mergeCell ref="A444:P444"/>
    <mergeCell ref="A445:C445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  <mergeCell ref="A55:C55"/>
    <mergeCell ref="A56:P56"/>
    <mergeCell ref="A90:C90"/>
    <mergeCell ref="A91:P91"/>
    <mergeCell ref="A101:Q101"/>
    <mergeCell ref="A105:P105"/>
    <mergeCell ref="A106:C106"/>
    <mergeCell ref="A107:P107"/>
    <mergeCell ref="A118:Q118"/>
    <mergeCell ref="A122:P122"/>
    <mergeCell ref="A123:C123"/>
    <mergeCell ref="A203:Q203"/>
    <mergeCell ref="A207:P207"/>
    <mergeCell ref="A208:C208"/>
    <mergeCell ref="A209:P209"/>
    <mergeCell ref="A220:Q220"/>
    <mergeCell ref="A224:P224"/>
    <mergeCell ref="A225:C225"/>
    <mergeCell ref="A124:P124"/>
    <mergeCell ref="A135:Q135"/>
    <mergeCell ref="A139:P139"/>
    <mergeCell ref="A140:C140"/>
    <mergeCell ref="A141:P141"/>
    <mergeCell ref="A152:Q152"/>
    <mergeCell ref="A156:P156"/>
    <mergeCell ref="A287:Q287"/>
    <mergeCell ref="A291:P291"/>
    <mergeCell ref="A292:C292"/>
    <mergeCell ref="A293:P293"/>
    <mergeCell ref="A304:Q304"/>
    <mergeCell ref="A308:P308"/>
    <mergeCell ref="A309:C309"/>
    <mergeCell ref="A310:P310"/>
    <mergeCell ref="A321:Q321"/>
    <mergeCell ref="A325:P325"/>
    <mergeCell ref="A326:C326"/>
    <mergeCell ref="A327:P327"/>
    <mergeCell ref="A338:Q338"/>
    <mergeCell ref="A342:P342"/>
    <mergeCell ref="A343:C343"/>
    <mergeCell ref="A344:P344"/>
    <mergeCell ref="A355:Q355"/>
    <mergeCell ref="A359:P359"/>
  </mergeCells>
  <phoneticPr fontId="0" type="noConversion"/>
  <dataValidations count="12">
    <dataValidation type="list" allowBlank="1" showInputMessage="1" showErrorMessage="1" sqref="D531:D540 D548:D557 D565:D574 D582:D591 D447:D455 D599:D608 D463:D472 D480:D489 D497:D506 D514:D523 D38:D47 D20:D29 D57:D66 D74:D83 D92:D100 D108:D117 D125:D134 D142:D151 D159:D168 D176:D185 D193:D202 D210:D219 D230:D236 D246:D253 D265:D270 D279:D286 D294:D303 D311:D320 D328:D337 D345:D354 D362:D371 D379:D388 D398:D405 D413:D422 D430:D439">
      <formula1>"olimpinė,neolimpinė"</formula1>
    </dataValidation>
    <dataValidation type="list" allowBlank="1" showInputMessage="1" showErrorMessage="1" sqref="M531:M540 H531:H540 M548:M557 H548:H557 M565:M574 H565:H574 M582:M591 H582:H591 M599:M608 M447:M455 H447:H455 H599:H608 M463:M472 H463:H472 M480:M489 H480:H489 M497:M506 H497:H506 M514:M523 H514:H523 H57:H66 H38:H47 M20:M29 M38:M47 H20:H29 H74:H83 M57:M66 H92:H100 M74:M83 H108:H117 M92:M100 H125:H134 M108:M117 H142:H151 M125:M134 H159:H168 M142:M151 H176:H185 M159:M168 H193:H202 M176:M185 H210:H219 M193:M202 H230:H236 M210:M219 H246:H253 M227:M236 H265:H270 M244:M253 H279:H286 M261:M270 H294:H303 M277:M286 H311:H320 M294:M303 H328:H337 M311:M320 H345:H354 M328:M337 H362:H371 M345:M354 H379:H388 M362:M371 M396:M405 M379:M388 H413:H422 H396:H405 H430:H439 M413:M422 M430:M439">
      <formula1>"Taip,Ne"</formula1>
    </dataValidation>
    <dataValidation type="list" allowBlank="1" showInputMessage="1" showErrorMessage="1" sqref="F531:F540 F548:F557 F565:F574 F582:F591 F452:F455 F599:F608 F463:F472 F480:F489 F497:F506 F514:F523 F22:F29 F43:F47 F58:F66 F76:F83 F95:F100 F110:F117 F126:F134 F143:F151 F160:F168 F177:F185 F194:F202 F211:F219 F230:F236 F246:F253 F265:F270 F279:F286 F295:F303 F316:F320 F329:F337 F346:F354 F366:F371 F380:F388 F400:F405 F414:F422 F432:F439">
      <formula1>"OŽ,PČ,PČneol,EČ,EČneol,JOŽ,JPČ,JEČ,JnPČ,JnEČ,NEAK"</formula1>
    </dataValidation>
    <dataValidation type="list" allowBlank="1" showInputMessage="1" showErrorMessage="1" sqref="G531:G540 G548:G557 G565:G574 G582:G591 G452:G455 G599:G608 G463:G472 G480:G489 G497:G506 G514:G523 G22:G29 G43:G47 G58:G66 G76:G83 G95:G100 G110:G117 G126:G134 G143:G151 G160:G168 G177:G185 G194:G202 G211:G219 G230:G236 G246:G253 G265:G270 G279:G286 G295:G303 G316:G320 G329:G337 G346:G354 G366:G371 G380:G388 G400:G405 G414:G422 G432:G439">
      <formula1>"1,1 (kas 4 m. 1 k. nerengiamos),2,4 arba 5"</formula1>
    </dataValidation>
    <dataValidation type="list" allowBlank="1" showInputMessage="1" showErrorMessage="1" sqref="D227:D229 D244:D245 D261:D264 D277:D278 D396:D397">
      <formula1>"olimpinė,neolimpinė"</formula1>
      <formula2>0</formula2>
    </dataValidation>
    <dataValidation type="list" allowBlank="1" showInputMessage="1" showErrorMessage="1" sqref="H227:H229 H244:H245 H261:H264 H277:H278">
      <formula1>"Taip,Ne"</formula1>
      <formula2>0</formula2>
    </dataValidation>
    <dataValidation type="list" allowBlank="1" showInputMessage="1" showErrorMessage="1" sqref="F227:F229 F244:F245 F261:F264 F277:F278 F396:F397">
      <formula1>"OŽ,PČ,PČneol,PŽ,EČ,EČneol,EŽ,PT,JOŽ,JPČ,JEČ,JEOF,JnPČ,JnEČ,JčPČ,JčEČ,NEAK"</formula1>
      <formula2>0</formula2>
    </dataValidation>
    <dataValidation type="list" allowBlank="1" showInputMessage="1" showErrorMessage="1" sqref="G228:G229 G245 G262:G264 G278 G396:G397">
      <formula1>"1,2,4"</formula1>
      <formula2>0</formula2>
    </dataValidation>
    <dataValidation type="list" allowBlank="1" showInputMessage="1" showErrorMessage="1" sqref="G227 G244 G261 G277">
      <formula1>"1,1 (kas 4 m. 1 k. nerengiamos),2,4"</formula1>
      <formula2>0</formula2>
    </dataValidation>
    <dataValidation type="list" allowBlank="1" showInputMessage="1" showErrorMessage="1" sqref="G20 G38 G57 G74 G92 G108:G109 G125 G142 G159 G176 G294 G311 G345 G362 G365">
      <formula1>"1,1 (kas 4 m. 1 k. nerengiamos),2,4"</formula1>
    </dataValidation>
    <dataValidation type="list" allowBlank="1" showInputMessage="1" showErrorMessage="1" sqref="G21 G39:G42 G75 G93:G94 G193 G210 G312:G315 G328 G363:G364 G379 G398:G399 G413 G430:G431 G447:G451">
      <formula1>"1,2,4"</formula1>
    </dataValidation>
    <dataValidation type="list" allowBlank="1" showInputMessage="1" showErrorMessage="1" sqref="F20:F21 F38:F42 F57 F74:F75 F92:F94 F108:F109 F125 F142 F159 F176 F193 F210 F294 F311:F315 F328 F345 F362:F365 F379 F398:F399 F413 F430:F431 F447:F451">
      <formula1>"OŽ,PČ,PČneol,PŽ,EČ,EČneol,EŽ,PT,JOŽ,JPČ,JEČ,JEOF,JnPČ,JnEČ,JčPČ,JčEČ,NEAK"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142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143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144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145</v>
      </c>
      <c r="AL4" s="51"/>
      <c r="AM4" s="51"/>
      <c r="AN4" s="51"/>
    </row>
    <row r="5" spans="1:41" ht="15.75">
      <c r="A5" s="131" t="s">
        <v>146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32" t="s">
        <v>8</v>
      </c>
      <c r="B7" s="134" t="s">
        <v>147</v>
      </c>
      <c r="C7" s="137" t="s">
        <v>148</v>
      </c>
      <c r="D7" s="139" t="s">
        <v>149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30" t="s">
        <v>13</v>
      </c>
      <c r="AO7" s="31"/>
    </row>
    <row r="8" spans="1:41">
      <c r="A8" s="133"/>
      <c r="B8" s="135"/>
      <c r="C8" s="138"/>
      <c r="D8" s="141" t="s">
        <v>150</v>
      </c>
      <c r="E8" s="141" t="s">
        <v>151</v>
      </c>
      <c r="F8" s="141" t="s">
        <v>152</v>
      </c>
      <c r="G8" s="141" t="s">
        <v>153</v>
      </c>
      <c r="H8" s="141" t="s">
        <v>154</v>
      </c>
      <c r="I8" s="141" t="s">
        <v>155</v>
      </c>
      <c r="J8" s="141" t="s">
        <v>156</v>
      </c>
      <c r="K8" s="141" t="s">
        <v>157</v>
      </c>
      <c r="L8" s="141" t="s">
        <v>158</v>
      </c>
      <c r="M8" s="141" t="s">
        <v>159</v>
      </c>
      <c r="N8" s="141" t="s">
        <v>160</v>
      </c>
      <c r="O8" s="141" t="s">
        <v>161</v>
      </c>
      <c r="P8" s="141" t="s">
        <v>162</v>
      </c>
      <c r="Q8" s="141" t="s">
        <v>163</v>
      </c>
      <c r="R8" s="141" t="s">
        <v>164</v>
      </c>
      <c r="S8" s="141" t="s">
        <v>165</v>
      </c>
      <c r="T8" s="141" t="s">
        <v>166</v>
      </c>
      <c r="U8" s="141" t="s">
        <v>167</v>
      </c>
      <c r="V8" s="141" t="s">
        <v>168</v>
      </c>
      <c r="W8" s="141" t="s">
        <v>169</v>
      </c>
      <c r="X8" s="141" t="s">
        <v>170</v>
      </c>
      <c r="Y8" s="141" t="s">
        <v>171</v>
      </c>
      <c r="Z8" s="141" t="s">
        <v>172</v>
      </c>
      <c r="AA8" s="141" t="s">
        <v>173</v>
      </c>
      <c r="AB8" s="141" t="s">
        <v>174</v>
      </c>
      <c r="AC8" s="141" t="s">
        <v>175</v>
      </c>
      <c r="AD8" s="141" t="s">
        <v>176</v>
      </c>
      <c r="AE8" s="141" t="s">
        <v>177</v>
      </c>
      <c r="AF8" s="141" t="s">
        <v>178</v>
      </c>
      <c r="AG8" s="141" t="s">
        <v>179</v>
      </c>
      <c r="AH8" s="141" t="s">
        <v>180</v>
      </c>
      <c r="AI8" s="141" t="s">
        <v>181</v>
      </c>
      <c r="AJ8" s="141" t="s">
        <v>182</v>
      </c>
      <c r="AK8" s="141" t="s">
        <v>183</v>
      </c>
      <c r="AL8" s="141" t="s">
        <v>184</v>
      </c>
      <c r="AM8" s="141" t="s">
        <v>185</v>
      </c>
      <c r="AN8" s="142" t="s">
        <v>186</v>
      </c>
    </row>
    <row r="9" spans="1:41">
      <c r="A9" s="133"/>
      <c r="B9" s="136"/>
      <c r="C9" s="138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3"/>
    </row>
    <row r="10" spans="1:41" s="55" customFormat="1">
      <c r="A10" s="52" t="s">
        <v>187</v>
      </c>
      <c r="B10" s="53" t="s">
        <v>32</v>
      </c>
      <c r="C10" s="35" t="s">
        <v>188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74" t="s">
        <v>189</v>
      </c>
      <c r="B11" s="44" t="s">
        <v>41</v>
      </c>
      <c r="C11" s="35" t="s">
        <v>190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191</v>
      </c>
      <c r="AK11" s="36" t="s">
        <v>191</v>
      </c>
      <c r="AL11" s="36" t="s">
        <v>191</v>
      </c>
      <c r="AM11" s="36" t="s">
        <v>191</v>
      </c>
      <c r="AN11" s="75">
        <f t="shared" ref="AN11:AN26" si="1">SUM(D11*0.3/100)</f>
        <v>1.347</v>
      </c>
    </row>
    <row r="12" spans="1:41">
      <c r="A12" s="74" t="s">
        <v>192</v>
      </c>
      <c r="B12" s="44" t="s">
        <v>54</v>
      </c>
      <c r="C12" s="35" t="s">
        <v>193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191</v>
      </c>
      <c r="AC12" s="36" t="s">
        <v>191</v>
      </c>
      <c r="AD12" s="36" t="s">
        <v>191</v>
      </c>
      <c r="AE12" s="36" t="s">
        <v>191</v>
      </c>
      <c r="AF12" s="36" t="s">
        <v>191</v>
      </c>
      <c r="AG12" s="36" t="s">
        <v>191</v>
      </c>
      <c r="AH12" s="36" t="s">
        <v>191</v>
      </c>
      <c r="AI12" s="36" t="s">
        <v>191</v>
      </c>
      <c r="AJ12" s="36" t="s">
        <v>191</v>
      </c>
      <c r="AK12" s="36" t="s">
        <v>191</v>
      </c>
      <c r="AL12" s="36" t="s">
        <v>191</v>
      </c>
      <c r="AM12" s="36" t="s">
        <v>191</v>
      </c>
      <c r="AN12" s="75">
        <f t="shared" si="1"/>
        <v>0.61199999999999999</v>
      </c>
    </row>
    <row r="13" spans="1:41" ht="84">
      <c r="A13" s="74" t="s">
        <v>194</v>
      </c>
      <c r="B13" s="44" t="s">
        <v>46</v>
      </c>
      <c r="C13" s="22" t="s">
        <v>195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191</v>
      </c>
      <c r="U13" s="36" t="s">
        <v>191</v>
      </c>
      <c r="V13" s="36" t="s">
        <v>191</v>
      </c>
      <c r="W13" s="36" t="s">
        <v>191</v>
      </c>
      <c r="X13" s="36" t="s">
        <v>191</v>
      </c>
      <c r="Y13" s="36" t="s">
        <v>191</v>
      </c>
      <c r="Z13" s="36" t="s">
        <v>191</v>
      </c>
      <c r="AA13" s="36" t="s">
        <v>191</v>
      </c>
      <c r="AB13" s="36" t="s">
        <v>191</v>
      </c>
      <c r="AC13" s="36" t="s">
        <v>191</v>
      </c>
      <c r="AD13" s="36" t="s">
        <v>191</v>
      </c>
      <c r="AE13" s="36" t="s">
        <v>191</v>
      </c>
      <c r="AF13" s="36" t="s">
        <v>191</v>
      </c>
      <c r="AG13" s="36" t="s">
        <v>191</v>
      </c>
      <c r="AH13" s="36" t="s">
        <v>191</v>
      </c>
      <c r="AI13" s="36" t="s">
        <v>191</v>
      </c>
      <c r="AJ13" s="36" t="s">
        <v>191</v>
      </c>
      <c r="AK13" s="36" t="s">
        <v>191</v>
      </c>
      <c r="AL13" s="36" t="s">
        <v>191</v>
      </c>
      <c r="AM13" s="36" t="s">
        <v>191</v>
      </c>
      <c r="AN13" s="75">
        <f t="shared" si="1"/>
        <v>0.255</v>
      </c>
    </row>
    <row r="14" spans="1:41" ht="36">
      <c r="A14" s="74" t="s">
        <v>196</v>
      </c>
      <c r="B14" s="44" t="s">
        <v>197</v>
      </c>
      <c r="C14" s="22" t="s">
        <v>198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191</v>
      </c>
      <c r="AK14" s="36" t="s">
        <v>191</v>
      </c>
      <c r="AL14" s="36" t="s">
        <v>191</v>
      </c>
      <c r="AM14" s="36" t="s">
        <v>191</v>
      </c>
      <c r="AN14" s="75">
        <f t="shared" si="1"/>
        <v>0.255</v>
      </c>
    </row>
    <row r="15" spans="1:41">
      <c r="A15" s="74" t="s">
        <v>199</v>
      </c>
      <c r="B15" s="44" t="s">
        <v>200</v>
      </c>
      <c r="C15" s="32" t="s">
        <v>201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191</v>
      </c>
      <c r="AC15" s="36" t="s">
        <v>191</v>
      </c>
      <c r="AD15" s="36" t="s">
        <v>191</v>
      </c>
      <c r="AE15" s="36" t="s">
        <v>191</v>
      </c>
      <c r="AF15" s="36" t="s">
        <v>191</v>
      </c>
      <c r="AG15" s="36" t="s">
        <v>191</v>
      </c>
      <c r="AH15" s="36" t="s">
        <v>191</v>
      </c>
      <c r="AI15" s="36" t="s">
        <v>191</v>
      </c>
      <c r="AJ15" s="36" t="s">
        <v>191</v>
      </c>
      <c r="AK15" s="36" t="s">
        <v>191</v>
      </c>
      <c r="AL15" s="36" t="s">
        <v>191</v>
      </c>
      <c r="AM15" s="36" t="s">
        <v>191</v>
      </c>
      <c r="AN15" s="75">
        <f t="shared" si="1"/>
        <v>0.255</v>
      </c>
    </row>
    <row r="16" spans="1:41" ht="84">
      <c r="A16" s="74" t="s">
        <v>202</v>
      </c>
      <c r="B16" s="44" t="s">
        <v>66</v>
      </c>
      <c r="C16" s="22" t="s">
        <v>203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191</v>
      </c>
      <c r="M16" s="37" t="s">
        <v>191</v>
      </c>
      <c r="N16" s="37" t="s">
        <v>191</v>
      </c>
      <c r="O16" s="37" t="s">
        <v>191</v>
      </c>
      <c r="P16" s="37" t="s">
        <v>191</v>
      </c>
      <c r="Q16" s="37" t="s">
        <v>191</v>
      </c>
      <c r="R16" s="37" t="s">
        <v>191</v>
      </c>
      <c r="S16" s="37" t="s">
        <v>191</v>
      </c>
      <c r="T16" s="37" t="s">
        <v>191</v>
      </c>
      <c r="U16" s="36" t="s">
        <v>191</v>
      </c>
      <c r="V16" s="36" t="s">
        <v>191</v>
      </c>
      <c r="W16" s="36" t="s">
        <v>191</v>
      </c>
      <c r="X16" s="36" t="s">
        <v>191</v>
      </c>
      <c r="Y16" s="36" t="s">
        <v>191</v>
      </c>
      <c r="Z16" s="36" t="s">
        <v>191</v>
      </c>
      <c r="AA16" s="36" t="s">
        <v>191</v>
      </c>
      <c r="AB16" s="36" t="s">
        <v>191</v>
      </c>
      <c r="AC16" s="36" t="s">
        <v>191</v>
      </c>
      <c r="AD16" s="36" t="s">
        <v>191</v>
      </c>
      <c r="AE16" s="36" t="s">
        <v>191</v>
      </c>
      <c r="AF16" s="36" t="s">
        <v>191</v>
      </c>
      <c r="AG16" s="36" t="s">
        <v>191</v>
      </c>
      <c r="AH16" s="36" t="s">
        <v>191</v>
      </c>
      <c r="AI16" s="36" t="s">
        <v>191</v>
      </c>
      <c r="AJ16" s="36" t="s">
        <v>191</v>
      </c>
      <c r="AK16" s="36" t="s">
        <v>191</v>
      </c>
      <c r="AL16" s="36" t="s">
        <v>191</v>
      </c>
      <c r="AM16" s="36" t="s">
        <v>191</v>
      </c>
      <c r="AN16" s="75">
        <f t="shared" si="1"/>
        <v>0.20399999999999999</v>
      </c>
    </row>
    <row r="17" spans="1:40">
      <c r="A17" s="74" t="s">
        <v>204</v>
      </c>
      <c r="B17" s="44" t="s">
        <v>205</v>
      </c>
      <c r="C17" s="32" t="s">
        <v>206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191</v>
      </c>
      <c r="AC17" s="36" t="s">
        <v>191</v>
      </c>
      <c r="AD17" s="36" t="s">
        <v>191</v>
      </c>
      <c r="AE17" s="36" t="s">
        <v>191</v>
      </c>
      <c r="AF17" s="36" t="s">
        <v>191</v>
      </c>
      <c r="AG17" s="36" t="s">
        <v>191</v>
      </c>
      <c r="AH17" s="36" t="s">
        <v>191</v>
      </c>
      <c r="AI17" s="36" t="s">
        <v>191</v>
      </c>
      <c r="AJ17" s="36" t="s">
        <v>191</v>
      </c>
      <c r="AK17" s="36" t="s">
        <v>191</v>
      </c>
      <c r="AL17" s="36" t="s">
        <v>191</v>
      </c>
      <c r="AM17" s="36" t="s">
        <v>191</v>
      </c>
      <c r="AN17" s="75">
        <f t="shared" si="1"/>
        <v>0.20399999999999999</v>
      </c>
    </row>
    <row r="18" spans="1:40" ht="24">
      <c r="A18" s="74" t="s">
        <v>207</v>
      </c>
      <c r="B18" s="44" t="s">
        <v>208</v>
      </c>
      <c r="C18" s="22" t="s">
        <v>209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191</v>
      </c>
      <c r="AK18" s="36" t="s">
        <v>191</v>
      </c>
      <c r="AL18" s="36" t="s">
        <v>191</v>
      </c>
      <c r="AM18" s="36" t="s">
        <v>191</v>
      </c>
      <c r="AN18" s="75">
        <f t="shared" si="1"/>
        <v>0.20399999999999999</v>
      </c>
    </row>
    <row r="19" spans="1:40">
      <c r="A19" s="74" t="s">
        <v>210</v>
      </c>
      <c r="B19" s="44" t="s">
        <v>74</v>
      </c>
      <c r="C19" s="32" t="s">
        <v>211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191</v>
      </c>
      <c r="AC19" s="36" t="s">
        <v>191</v>
      </c>
      <c r="AD19" s="36" t="s">
        <v>191</v>
      </c>
      <c r="AE19" s="36" t="s">
        <v>191</v>
      </c>
      <c r="AF19" s="36" t="s">
        <v>191</v>
      </c>
      <c r="AG19" s="36" t="s">
        <v>191</v>
      </c>
      <c r="AH19" s="36" t="s">
        <v>191</v>
      </c>
      <c r="AI19" s="36" t="s">
        <v>191</v>
      </c>
      <c r="AJ19" s="36" t="s">
        <v>191</v>
      </c>
      <c r="AK19" s="36" t="s">
        <v>191</v>
      </c>
      <c r="AL19" s="36" t="s">
        <v>191</v>
      </c>
      <c r="AM19" s="36" t="s">
        <v>191</v>
      </c>
      <c r="AN19" s="75">
        <f t="shared" si="1"/>
        <v>0.20399999999999999</v>
      </c>
    </row>
    <row r="20" spans="1:40">
      <c r="A20" s="74" t="s">
        <v>212</v>
      </c>
      <c r="B20" s="44" t="s">
        <v>102</v>
      </c>
      <c r="C20" s="32" t="s">
        <v>213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191</v>
      </c>
      <c r="U20" s="36" t="s">
        <v>191</v>
      </c>
      <c r="V20" s="36" t="s">
        <v>191</v>
      </c>
      <c r="W20" s="36" t="s">
        <v>191</v>
      </c>
      <c r="X20" s="36" t="s">
        <v>191</v>
      </c>
      <c r="Y20" s="36" t="s">
        <v>191</v>
      </c>
      <c r="Z20" s="36" t="s">
        <v>191</v>
      </c>
      <c r="AA20" s="36" t="s">
        <v>191</v>
      </c>
      <c r="AB20" s="36" t="s">
        <v>191</v>
      </c>
      <c r="AC20" s="36" t="s">
        <v>191</v>
      </c>
      <c r="AD20" s="36" t="s">
        <v>191</v>
      </c>
      <c r="AE20" s="36" t="s">
        <v>191</v>
      </c>
      <c r="AF20" s="36" t="s">
        <v>191</v>
      </c>
      <c r="AG20" s="36" t="s">
        <v>191</v>
      </c>
      <c r="AH20" s="36" t="s">
        <v>191</v>
      </c>
      <c r="AI20" s="36" t="s">
        <v>191</v>
      </c>
      <c r="AJ20" s="36" t="s">
        <v>191</v>
      </c>
      <c r="AK20" s="36" t="s">
        <v>191</v>
      </c>
      <c r="AL20" s="36" t="s">
        <v>191</v>
      </c>
      <c r="AM20" s="36" t="s">
        <v>191</v>
      </c>
      <c r="AN20" s="75">
        <f t="shared" si="1"/>
        <v>0.153</v>
      </c>
    </row>
    <row r="21" spans="1:40">
      <c r="A21" s="74" t="s">
        <v>214</v>
      </c>
      <c r="B21" s="44" t="s">
        <v>70</v>
      </c>
      <c r="C21" s="32" t="s">
        <v>215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191</v>
      </c>
      <c r="U21" s="36" t="s">
        <v>191</v>
      </c>
      <c r="V21" s="36" t="s">
        <v>191</v>
      </c>
      <c r="W21" s="36" t="s">
        <v>191</v>
      </c>
      <c r="X21" s="36" t="s">
        <v>191</v>
      </c>
      <c r="Y21" s="36" t="s">
        <v>191</v>
      </c>
      <c r="Z21" s="36" t="s">
        <v>191</v>
      </c>
      <c r="AA21" s="36" t="s">
        <v>191</v>
      </c>
      <c r="AB21" s="36" t="s">
        <v>191</v>
      </c>
      <c r="AC21" s="36" t="s">
        <v>191</v>
      </c>
      <c r="AD21" s="36" t="s">
        <v>191</v>
      </c>
      <c r="AE21" s="36" t="s">
        <v>191</v>
      </c>
      <c r="AF21" s="36" t="s">
        <v>191</v>
      </c>
      <c r="AG21" s="36" t="s">
        <v>191</v>
      </c>
      <c r="AH21" s="36" t="s">
        <v>191</v>
      </c>
      <c r="AI21" s="36" t="s">
        <v>191</v>
      </c>
      <c r="AJ21" s="36" t="s">
        <v>191</v>
      </c>
      <c r="AK21" s="36" t="s">
        <v>191</v>
      </c>
      <c r="AL21" s="36" t="s">
        <v>191</v>
      </c>
      <c r="AM21" s="36" t="s">
        <v>191</v>
      </c>
      <c r="AN21" s="75">
        <f t="shared" si="1"/>
        <v>0.10199999999999999</v>
      </c>
    </row>
    <row r="22" spans="1:40">
      <c r="A22" s="74" t="s">
        <v>216</v>
      </c>
      <c r="B22" s="44" t="s">
        <v>217</v>
      </c>
      <c r="C22" s="32" t="s">
        <v>218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191</v>
      </c>
      <c r="U22" s="36" t="s">
        <v>191</v>
      </c>
      <c r="V22" s="36" t="s">
        <v>191</v>
      </c>
      <c r="W22" s="36" t="s">
        <v>191</v>
      </c>
      <c r="X22" s="36" t="s">
        <v>191</v>
      </c>
      <c r="Y22" s="36" t="s">
        <v>191</v>
      </c>
      <c r="Z22" s="36" t="s">
        <v>191</v>
      </c>
      <c r="AA22" s="36" t="s">
        <v>191</v>
      </c>
      <c r="AB22" s="36" t="s">
        <v>191</v>
      </c>
      <c r="AC22" s="36" t="s">
        <v>191</v>
      </c>
      <c r="AD22" s="36" t="s">
        <v>191</v>
      </c>
      <c r="AE22" s="36" t="s">
        <v>191</v>
      </c>
      <c r="AF22" s="36" t="s">
        <v>191</v>
      </c>
      <c r="AG22" s="36" t="s">
        <v>191</v>
      </c>
      <c r="AH22" s="36" t="s">
        <v>191</v>
      </c>
      <c r="AI22" s="36" t="s">
        <v>191</v>
      </c>
      <c r="AJ22" s="36" t="s">
        <v>191</v>
      </c>
      <c r="AK22" s="36" t="s">
        <v>191</v>
      </c>
      <c r="AL22" s="36" t="s">
        <v>191</v>
      </c>
      <c r="AM22" s="36" t="s">
        <v>191</v>
      </c>
      <c r="AN22" s="75">
        <f t="shared" si="1"/>
        <v>0.10199999999999999</v>
      </c>
    </row>
    <row r="23" spans="1:40">
      <c r="A23" s="74" t="s">
        <v>219</v>
      </c>
      <c r="B23" s="44" t="s">
        <v>220</v>
      </c>
      <c r="C23" s="32" t="s">
        <v>221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191</v>
      </c>
      <c r="U23" s="36" t="s">
        <v>191</v>
      </c>
      <c r="V23" s="36" t="s">
        <v>191</v>
      </c>
      <c r="W23" s="36" t="s">
        <v>191</v>
      </c>
      <c r="X23" s="36" t="s">
        <v>191</v>
      </c>
      <c r="Y23" s="36" t="s">
        <v>191</v>
      </c>
      <c r="Z23" s="36" t="s">
        <v>191</v>
      </c>
      <c r="AA23" s="36" t="s">
        <v>191</v>
      </c>
      <c r="AB23" s="36" t="s">
        <v>191</v>
      </c>
      <c r="AC23" s="36" t="s">
        <v>191</v>
      </c>
      <c r="AD23" s="36" t="s">
        <v>191</v>
      </c>
      <c r="AE23" s="36" t="s">
        <v>191</v>
      </c>
      <c r="AF23" s="36" t="s">
        <v>191</v>
      </c>
      <c r="AG23" s="36" t="s">
        <v>191</v>
      </c>
      <c r="AH23" s="36" t="s">
        <v>191</v>
      </c>
      <c r="AI23" s="36" t="s">
        <v>191</v>
      </c>
      <c r="AJ23" s="36" t="s">
        <v>191</v>
      </c>
      <c r="AK23" s="36" t="s">
        <v>191</v>
      </c>
      <c r="AL23" s="36" t="s">
        <v>191</v>
      </c>
      <c r="AM23" s="36" t="s">
        <v>191</v>
      </c>
      <c r="AN23" s="75">
        <f t="shared" si="1"/>
        <v>7.6499999999999999E-2</v>
      </c>
    </row>
    <row r="24" spans="1:40">
      <c r="A24" s="74" t="s">
        <v>222</v>
      </c>
      <c r="B24" s="44" t="s">
        <v>223</v>
      </c>
      <c r="C24" s="32" t="s">
        <v>224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191</v>
      </c>
      <c r="U24" s="36" t="s">
        <v>191</v>
      </c>
      <c r="V24" s="36" t="s">
        <v>191</v>
      </c>
      <c r="W24" s="36" t="s">
        <v>191</v>
      </c>
      <c r="X24" s="36" t="s">
        <v>191</v>
      </c>
      <c r="Y24" s="36" t="s">
        <v>191</v>
      </c>
      <c r="Z24" s="36" t="s">
        <v>191</v>
      </c>
      <c r="AA24" s="36" t="s">
        <v>191</v>
      </c>
      <c r="AB24" s="36" t="s">
        <v>191</v>
      </c>
      <c r="AC24" s="36" t="s">
        <v>191</v>
      </c>
      <c r="AD24" s="36" t="s">
        <v>191</v>
      </c>
      <c r="AE24" s="36" t="s">
        <v>191</v>
      </c>
      <c r="AF24" s="36" t="s">
        <v>191</v>
      </c>
      <c r="AG24" s="36" t="s">
        <v>191</v>
      </c>
      <c r="AH24" s="36" t="s">
        <v>191</v>
      </c>
      <c r="AI24" s="36" t="s">
        <v>191</v>
      </c>
      <c r="AJ24" s="36" t="s">
        <v>191</v>
      </c>
      <c r="AK24" s="36" t="s">
        <v>191</v>
      </c>
      <c r="AL24" s="36" t="s">
        <v>191</v>
      </c>
      <c r="AM24" s="36" t="s">
        <v>191</v>
      </c>
      <c r="AN24" s="75">
        <f t="shared" si="1"/>
        <v>6.3750000000000001E-2</v>
      </c>
    </row>
    <row r="25" spans="1:40">
      <c r="A25" s="74" t="s">
        <v>225</v>
      </c>
      <c r="B25" s="44" t="s">
        <v>226</v>
      </c>
      <c r="C25" s="32" t="s">
        <v>227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191</v>
      </c>
      <c r="U25" s="36" t="s">
        <v>191</v>
      </c>
      <c r="V25" s="36" t="s">
        <v>191</v>
      </c>
      <c r="W25" s="36" t="s">
        <v>191</v>
      </c>
      <c r="X25" s="36" t="s">
        <v>191</v>
      </c>
      <c r="Y25" s="36" t="s">
        <v>191</v>
      </c>
      <c r="Z25" s="36" t="s">
        <v>191</v>
      </c>
      <c r="AA25" s="36" t="s">
        <v>191</v>
      </c>
      <c r="AB25" s="36" t="s">
        <v>191</v>
      </c>
      <c r="AC25" s="36" t="s">
        <v>191</v>
      </c>
      <c r="AD25" s="36" t="s">
        <v>191</v>
      </c>
      <c r="AE25" s="36" t="s">
        <v>191</v>
      </c>
      <c r="AF25" s="36" t="s">
        <v>191</v>
      </c>
      <c r="AG25" s="36" t="s">
        <v>191</v>
      </c>
      <c r="AH25" s="36" t="s">
        <v>191</v>
      </c>
      <c r="AI25" s="36" t="s">
        <v>191</v>
      </c>
      <c r="AJ25" s="36" t="s">
        <v>191</v>
      </c>
      <c r="AK25" s="36" t="s">
        <v>191</v>
      </c>
      <c r="AL25" s="36" t="s">
        <v>191</v>
      </c>
      <c r="AM25" s="36" t="s">
        <v>191</v>
      </c>
      <c r="AN25" s="75">
        <f t="shared" si="1"/>
        <v>5.0999999999999997E-2</v>
      </c>
    </row>
    <row r="26" spans="1:40" ht="24.75" thickBot="1">
      <c r="A26" s="39" t="s">
        <v>228</v>
      </c>
      <c r="B26" s="45" t="s">
        <v>229</v>
      </c>
      <c r="C26" s="23" t="s">
        <v>230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191</v>
      </c>
      <c r="AC26" s="42" t="s">
        <v>191</v>
      </c>
      <c r="AD26" s="42" t="s">
        <v>191</v>
      </c>
      <c r="AE26" s="42" t="s">
        <v>191</v>
      </c>
      <c r="AF26" s="42" t="s">
        <v>191</v>
      </c>
      <c r="AG26" s="42" t="s">
        <v>191</v>
      </c>
      <c r="AH26" s="42" t="s">
        <v>191</v>
      </c>
      <c r="AI26" s="42" t="s">
        <v>191</v>
      </c>
      <c r="AJ26" s="42" t="s">
        <v>191</v>
      </c>
      <c r="AK26" s="42" t="s">
        <v>191</v>
      </c>
      <c r="AL26" s="42" t="s">
        <v>191</v>
      </c>
      <c r="AM26" s="42" t="s">
        <v>191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231</v>
      </c>
    </row>
    <row r="2" spans="1:1" s="19" customFormat="1" ht="15" customHeight="1">
      <c r="A2" s="18" t="s">
        <v>232</v>
      </c>
    </row>
    <row r="3" spans="1:1" s="19" customFormat="1" ht="15" customHeight="1">
      <c r="A3" s="18" t="s">
        <v>233</v>
      </c>
    </row>
    <row r="4" spans="1:1" s="19" customFormat="1" ht="15" customHeight="1">
      <c r="A4" s="18" t="s">
        <v>234</v>
      </c>
    </row>
    <row r="5" spans="1:1" s="19" customFormat="1" ht="15" customHeight="1">
      <c r="A5" s="18" t="s">
        <v>235</v>
      </c>
    </row>
    <row r="6" spans="1:1" s="19" customFormat="1" ht="15" customHeight="1">
      <c r="A6" s="18" t="s">
        <v>236</v>
      </c>
    </row>
    <row r="7" spans="1:1" s="19" customFormat="1" ht="15" customHeight="1">
      <c r="A7" s="18" t="s">
        <v>237</v>
      </c>
    </row>
    <row r="8" spans="1:1" s="19" customFormat="1" ht="15" customHeight="1">
      <c r="A8" s="18" t="s">
        <v>238</v>
      </c>
    </row>
    <row r="9" spans="1:1" s="19" customFormat="1" ht="15" customHeight="1">
      <c r="A9" s="18" t="s">
        <v>239</v>
      </c>
    </row>
    <row r="10" spans="1:1" s="19" customFormat="1" ht="15" customHeight="1">
      <c r="A10" s="18" t="s">
        <v>240</v>
      </c>
    </row>
    <row r="11" spans="1:1" s="19" customFormat="1" ht="15" customHeight="1">
      <c r="A11" s="18" t="s">
        <v>241</v>
      </c>
    </row>
    <row r="12" spans="1:1" s="19" customFormat="1" ht="15" customHeight="1">
      <c r="A12" s="18" t="s">
        <v>242</v>
      </c>
    </row>
    <row r="13" spans="1:1" s="19" customFormat="1" ht="15" customHeight="1">
      <c r="A13" s="18" t="s">
        <v>243</v>
      </c>
    </row>
    <row r="14" spans="1:1" s="19" customFormat="1" ht="15" customHeight="1">
      <c r="A14" s="18" t="s">
        <v>244</v>
      </c>
    </row>
    <row r="15" spans="1:1" s="19" customFormat="1" ht="15" customHeight="1">
      <c r="A15" s="18" t="s">
        <v>2</v>
      </c>
    </row>
    <row r="16" spans="1:1" s="19" customFormat="1" ht="15" customHeight="1">
      <c r="A16" s="18" t="s">
        <v>245</v>
      </c>
    </row>
    <row r="17" spans="1:1" s="19" customFormat="1" ht="15" customHeight="1">
      <c r="A17" s="18" t="s">
        <v>246</v>
      </c>
    </row>
    <row r="18" spans="1:1" s="19" customFormat="1" ht="15" customHeight="1">
      <c r="A18" s="18" t="s">
        <v>247</v>
      </c>
    </row>
    <row r="19" spans="1:1" s="19" customFormat="1" ht="15" customHeight="1">
      <c r="A19" s="18" t="s">
        <v>248</v>
      </c>
    </row>
    <row r="20" spans="1:1" s="19" customFormat="1" ht="15" customHeight="1">
      <c r="A20" s="18" t="s">
        <v>249</v>
      </c>
    </row>
    <row r="21" spans="1:1" s="19" customFormat="1" ht="15" customHeight="1">
      <c r="A21" s="18" t="s">
        <v>250</v>
      </c>
    </row>
    <row r="22" spans="1:1" s="19" customFormat="1" ht="15" customHeight="1">
      <c r="A22" s="18" t="s">
        <v>251</v>
      </c>
    </row>
    <row r="23" spans="1:1" s="19" customFormat="1" ht="15" customHeight="1">
      <c r="A23" s="18" t="s">
        <v>252</v>
      </c>
    </row>
    <row r="24" spans="1:1" s="19" customFormat="1" ht="15" customHeight="1">
      <c r="A24" s="18" t="s">
        <v>253</v>
      </c>
    </row>
    <row r="25" spans="1:1" s="19" customFormat="1" ht="15" customHeight="1">
      <c r="A25" s="18" t="s">
        <v>254</v>
      </c>
    </row>
    <row r="26" spans="1:1" s="19" customFormat="1" ht="15" customHeight="1">
      <c r="A26" s="18" t="s">
        <v>255</v>
      </c>
    </row>
    <row r="27" spans="1:1" s="19" customFormat="1" ht="15" customHeight="1">
      <c r="A27" s="18" t="s">
        <v>256</v>
      </c>
    </row>
    <row r="28" spans="1:1" s="19" customFormat="1" ht="15" customHeight="1">
      <c r="A28" s="18" t="s">
        <v>257</v>
      </c>
    </row>
    <row r="29" spans="1:1" s="19" customFormat="1" ht="15" customHeight="1">
      <c r="A29" s="18" t="s">
        <v>258</v>
      </c>
    </row>
    <row r="30" spans="1:1" s="19" customFormat="1" ht="15" customHeight="1">
      <c r="A30" s="18" t="s">
        <v>259</v>
      </c>
    </row>
    <row r="31" spans="1:1" s="19" customFormat="1" ht="15" customHeight="1">
      <c r="A31" s="18" t="s">
        <v>260</v>
      </c>
    </row>
    <row r="32" spans="1:1" s="19" customFormat="1" ht="15" customHeight="1">
      <c r="A32" s="18" t="s">
        <v>261</v>
      </c>
    </row>
    <row r="33" spans="1:1" s="19" customFormat="1" ht="15" customHeight="1">
      <c r="A33" s="18" t="s">
        <v>262</v>
      </c>
    </row>
    <row r="34" spans="1:1" s="19" customFormat="1" ht="15" customHeight="1">
      <c r="A34" s="18" t="s">
        <v>263</v>
      </c>
    </row>
    <row r="35" spans="1:1" s="19" customFormat="1" ht="15" customHeight="1">
      <c r="A35" s="18" t="s">
        <v>264</v>
      </c>
    </row>
    <row r="36" spans="1:1" s="19" customFormat="1" ht="15" customHeight="1">
      <c r="A36" s="18" t="s">
        <v>265</v>
      </c>
    </row>
    <row r="37" spans="1:1" s="19" customFormat="1" ht="15" customHeight="1">
      <c r="A37" s="18" t="s">
        <v>266</v>
      </c>
    </row>
    <row r="38" spans="1:1" s="19" customFormat="1" ht="15" customHeight="1">
      <c r="A38" s="18" t="s">
        <v>267</v>
      </c>
    </row>
    <row r="39" spans="1:1" s="19" customFormat="1" ht="15" customHeight="1">
      <c r="A39" s="18" t="s">
        <v>268</v>
      </c>
    </row>
    <row r="40" spans="1:1" s="19" customFormat="1" ht="15" customHeight="1">
      <c r="A40" s="18" t="s">
        <v>269</v>
      </c>
    </row>
    <row r="41" spans="1:1" s="19" customFormat="1" ht="15" customHeight="1">
      <c r="A41" s="18" t="s">
        <v>270</v>
      </c>
    </row>
    <row r="42" spans="1:1" s="19" customFormat="1" ht="15" customHeight="1">
      <c r="A42" s="18" t="s">
        <v>271</v>
      </c>
    </row>
    <row r="43" spans="1:1" s="19" customFormat="1" ht="15" customHeight="1">
      <c r="A43" s="18" t="s">
        <v>272</v>
      </c>
    </row>
    <row r="44" spans="1:1" s="19" customFormat="1" ht="15" customHeight="1">
      <c r="A44" s="18" t="s">
        <v>273</v>
      </c>
    </row>
    <row r="45" spans="1:1" s="19" customFormat="1" ht="15" customHeight="1">
      <c r="A45" s="18" t="s">
        <v>274</v>
      </c>
    </row>
    <row r="46" spans="1:1" s="19" customFormat="1" ht="15" customHeight="1">
      <c r="A46" s="18" t="s">
        <v>275</v>
      </c>
    </row>
    <row r="47" spans="1:1" s="19" customFormat="1" ht="15" customHeight="1">
      <c r="A47" s="18" t="s">
        <v>276</v>
      </c>
    </row>
    <row r="48" spans="1:1" s="19" customFormat="1" ht="15" customHeight="1">
      <c r="A48" s="18" t="s">
        <v>277</v>
      </c>
    </row>
    <row r="49" spans="1:1" s="19" customFormat="1" ht="15" customHeight="1">
      <c r="A49" s="18" t="s">
        <v>278</v>
      </c>
    </row>
    <row r="50" spans="1:1" s="19" customFormat="1" ht="15" customHeight="1">
      <c r="A50" s="18" t="s">
        <v>279</v>
      </c>
    </row>
    <row r="51" spans="1:1" s="19" customFormat="1" ht="15" customHeight="1">
      <c r="A51" s="18" t="s">
        <v>280</v>
      </c>
    </row>
    <row r="52" spans="1:1" s="19" customFormat="1" ht="15" customHeight="1">
      <c r="A52" s="18" t="s">
        <v>281</v>
      </c>
    </row>
    <row r="53" spans="1:1" s="19" customFormat="1" ht="15" customHeight="1">
      <c r="A53" s="18" t="s">
        <v>282</v>
      </c>
    </row>
    <row r="54" spans="1:1" s="19" customFormat="1" ht="15" customHeight="1">
      <c r="A54" s="18" t="s">
        <v>283</v>
      </c>
    </row>
    <row r="55" spans="1:1" s="19" customFormat="1" ht="15" customHeight="1">
      <c r="A55" s="18" t="s">
        <v>284</v>
      </c>
    </row>
    <row r="56" spans="1:1" s="19" customFormat="1" ht="15" customHeight="1">
      <c r="A56" s="18" t="s">
        <v>285</v>
      </c>
    </row>
    <row r="57" spans="1:1" s="19" customFormat="1" ht="15" customHeight="1">
      <c r="A57" s="18" t="s">
        <v>286</v>
      </c>
    </row>
    <row r="58" spans="1:1" s="19" customFormat="1" ht="15" customHeight="1">
      <c r="A58" s="18" t="s">
        <v>287</v>
      </c>
    </row>
    <row r="59" spans="1:1" s="19" customFormat="1" ht="15" customHeight="1">
      <c r="A59" s="18" t="s">
        <v>288</v>
      </c>
    </row>
    <row r="60" spans="1:1" s="19" customFormat="1" ht="15" customHeight="1">
      <c r="A60" s="18" t="s">
        <v>289</v>
      </c>
    </row>
    <row r="61" spans="1:1" s="19" customFormat="1" ht="15" customHeight="1">
      <c r="A61" s="18" t="s">
        <v>290</v>
      </c>
    </row>
    <row r="62" spans="1:1" s="19" customFormat="1" ht="15" customHeight="1">
      <c r="A62" s="18" t="s">
        <v>291</v>
      </c>
    </row>
    <row r="63" spans="1:1" s="19" customFormat="1" ht="15" customHeight="1">
      <c r="A63" s="18" t="s">
        <v>292</v>
      </c>
    </row>
    <row r="64" spans="1:1" s="19" customFormat="1" ht="15" customHeight="1">
      <c r="A64" s="18" t="s">
        <v>293</v>
      </c>
    </row>
    <row r="65" spans="1:1" s="19" customFormat="1" ht="15" customHeight="1">
      <c r="A65" s="18" t="s">
        <v>294</v>
      </c>
    </row>
    <row r="66" spans="1:1" s="19" customFormat="1" ht="15" customHeight="1">
      <c r="A66" s="18" t="s">
        <v>295</v>
      </c>
    </row>
    <row r="67" spans="1:1" s="19" customFormat="1" ht="15" customHeight="1">
      <c r="A67" s="18" t="s">
        <v>296</v>
      </c>
    </row>
    <row r="68" spans="1:1" s="19" customFormat="1" ht="15" customHeight="1">
      <c r="A68" s="18" t="s">
        <v>297</v>
      </c>
    </row>
    <row r="69" spans="1:1" s="19" customFormat="1" ht="15" customHeight="1">
      <c r="A69" s="18" t="s">
        <v>298</v>
      </c>
    </row>
    <row r="70" spans="1:1" s="19" customFormat="1" ht="15" customHeight="1">
      <c r="A70" s="18" t="s">
        <v>299</v>
      </c>
    </row>
    <row r="71" spans="1:1" s="19" customFormat="1" ht="15" customHeight="1">
      <c r="A71" s="18" t="s">
        <v>300</v>
      </c>
    </row>
    <row r="72" spans="1:1" s="19" customFormat="1" ht="15" customHeight="1">
      <c r="A72" s="18" t="s">
        <v>301</v>
      </c>
    </row>
    <row r="73" spans="1:1" s="19" customFormat="1" ht="15" customHeight="1">
      <c r="A73" s="18" t="s">
        <v>302</v>
      </c>
    </row>
    <row r="74" spans="1:1" s="19" customFormat="1" ht="15" customHeight="1">
      <c r="A74" s="18" t="s">
        <v>303</v>
      </c>
    </row>
    <row r="75" spans="1:1" s="19" customFormat="1" ht="15" customHeight="1">
      <c r="A75" s="18" t="s">
        <v>304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7F2D81C752E6284AA32DF8CED5C1E1C1" ma:contentTypeVersion="" ma:contentTypeDescription="" ma:contentTypeScope="" ma:versionID="fb265579e9dc3aea4ee9c3fcd77ba3dc">
  <xsd:schema xmlns:xsd="http://www.w3.org/2001/XMLSchema" xmlns:xs="http://www.w3.org/2001/XMLSchema" xmlns:p="http://schemas.microsoft.com/office/2006/metadata/properties" xmlns:ns1="http://schemas.microsoft.com/sharepoint/v3" xmlns:ns2="354002CA-4A62-4B02-ABE8-E4B240B9E766" targetNamespace="http://schemas.microsoft.com/office/2006/metadata/properties" ma:root="true" ma:fieldsID="f44404cdb0c16364503b3539128677f3" ns1:_="" ns2:_="">
    <xsd:import namespace="http://schemas.microsoft.com/sharepoint/v3"/>
    <xsd:import namespace="354002CA-4A62-4B02-ABE8-E4B240B9E76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002CA-4A62-4B02-ABE8-E4B240B9E76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354002CA-4A62-4B02-ABE8-E4B240B9E766">false</alreadyChecked>
    <needDetail xmlns="354002CA-4A62-4B02-ABE8-E4B240B9E766">true</needDetail>
    <Comments xmlns="354002CA-4A62-4B02-ABE8-E4B240B9E766">Reikalinga pažyma kad neįvyko 2020 m. čempionatai</Comments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E9EBEE-9800-425D-B227-98EC353A5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4002CA-4A62-4B02-ABE8-E4B240B9E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54002CA-4A62-4B02-ABE8-E4B240B9E7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0x0101006CB92C11A11C4849B1A04E87CB5CBA3E007F2D81C752E6284AA32DF8CED5C1E1C1</vt:lpwstr>
  </property>
</Properties>
</file>